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65" activeTab="5"/>
  </bookViews>
  <sheets>
    <sheet name="január 2008" sheetId="1" r:id="rId1"/>
    <sheet name="2008 április mod" sheetId="2" r:id="rId2"/>
    <sheet name="2008 június" sheetId="3" r:id="rId3"/>
    <sheet name="2008 szept" sheetId="4" r:id="rId4"/>
    <sheet name="2008 dec" sheetId="5" r:id="rId5"/>
    <sheet name="2009 febr" sheetId="6" r:id="rId6"/>
    <sheet name="január" sheetId="7" r:id="rId7"/>
    <sheet name="január (2)" sheetId="8" r:id="rId8"/>
    <sheet name="január (3)" sheetId="9" r:id="rId9"/>
    <sheet name="%" sheetId="10" r:id="rId10"/>
    <sheet name="december" sheetId="11" r:id="rId11"/>
  </sheets>
  <definedNames>
    <definedName name="_xlnm.Print_Area" localSheetId="9">'%'!$A$1:$N$41</definedName>
    <definedName name="_xlnm.Print_Area" localSheetId="1">'2008 április mod'!$A$1:$N$40</definedName>
    <definedName name="_xlnm.Print_Area" localSheetId="4">'2008 dec'!$A$1:$N$40</definedName>
    <definedName name="_xlnm.Print_Area" localSheetId="2">'2008 június'!$A$1:$N$40</definedName>
    <definedName name="_xlnm.Print_Area" localSheetId="3">'2008 szept'!$A$1:$N$40</definedName>
    <definedName name="_xlnm.Print_Area" localSheetId="5">'2009 febr'!$A$1:$N$40</definedName>
    <definedName name="_xlnm.Print_Area" localSheetId="10">'december'!$A$1:$N$75</definedName>
    <definedName name="_xlnm.Print_Area" localSheetId="6">'január'!$A$1:$N$41</definedName>
    <definedName name="_xlnm.Print_Area" localSheetId="7">'január (2)'!$A$1:$N$41</definedName>
    <definedName name="_xlnm.Print_Area" localSheetId="8">'január (3)'!$A$1:$N$41</definedName>
    <definedName name="_xlnm.Print_Area" localSheetId="0">'január 2008'!$A$1:$N$40</definedName>
  </definedNames>
  <calcPr fullCalcOnLoad="1"/>
</workbook>
</file>

<file path=xl/sharedStrings.xml><?xml version="1.0" encoding="utf-8"?>
<sst xmlns="http://schemas.openxmlformats.org/spreadsheetml/2006/main" count="601" uniqueCount="64">
  <si>
    <t xml:space="preserve">          adatok E Ft-ban</t>
  </si>
  <si>
    <t>M e g n e v e z é s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</si>
  <si>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</si>
  <si>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</si>
  <si>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</si>
  <si>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</si>
  <si>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</si>
  <si>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</si>
  <si>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</si>
  <si>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</si>
  <si>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</si>
  <si>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</si>
  <si>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</si>
  <si>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</si>
  <si>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Összesen</t>
  </si>
  <si>
    <t>Bevételek</t>
  </si>
  <si>
    <t>Intézményi működési bevétel</t>
  </si>
  <si>
    <t>Felhalm. és tőke jellegű bevétel</t>
  </si>
  <si>
    <t>Felügyeleti szervi támogatás</t>
  </si>
  <si>
    <t xml:space="preserve">                  Fejlesztési célra</t>
  </si>
  <si>
    <t xml:space="preserve">                  Működési célra</t>
  </si>
  <si>
    <t>Állami támogatás</t>
  </si>
  <si>
    <t>Átvett pénzeszközök</t>
  </si>
  <si>
    <t>Egyéb sajátos bevétel</t>
  </si>
  <si>
    <t>Hitelek, értékpapírok bevételei</t>
  </si>
  <si>
    <t>Pénzforgalom nélküli bevétel</t>
  </si>
  <si>
    <t>Önk. Hiv. intézményi támogatása</t>
  </si>
  <si>
    <t>Bevételek összesen:</t>
  </si>
  <si>
    <t>Kiadások</t>
  </si>
  <si>
    <t>Személyi juttatás</t>
  </si>
  <si>
    <t>Munkaadókat terhelő járulékok</t>
  </si>
  <si>
    <t>Dologi kiadások</t>
  </si>
  <si>
    <t>Pénzeszköz átadás</t>
  </si>
  <si>
    <t>Ellátottak pénzbeni juttatása</t>
  </si>
  <si>
    <t>Felújítási kiadások</t>
  </si>
  <si>
    <t>Felhalmozási kiadások</t>
  </si>
  <si>
    <t>Hitelek, értékpapírok kiadásai</t>
  </si>
  <si>
    <t>Pénzforgalom nélküli kiadások</t>
  </si>
  <si>
    <t>Kiadások összesen:</t>
  </si>
  <si>
    <t>Kölcsönök kiadásai</t>
  </si>
  <si>
    <t>Kölcsönök bevételei</t>
  </si>
  <si>
    <t>Előirányzat-felhasználási ütemterv 2007. évre</t>
  </si>
  <si>
    <t>Előirányzat-felhasználási ütemterv 2008. évre</t>
  </si>
  <si>
    <t>Önk. sajátos működési bevétele</t>
  </si>
  <si>
    <t>Támogatás értékü műk. bev</t>
  </si>
  <si>
    <t>Önk. költségvetési támogatása</t>
  </si>
  <si>
    <t>Felügyeleti szervi tám. műk. célra</t>
  </si>
  <si>
    <t>Felügyeleti szervi tám. fejl. célra</t>
  </si>
  <si>
    <t>Finanszírozási bevételek</t>
  </si>
  <si>
    <t>Függő átfutó kiegyenlítő bev.</t>
  </si>
  <si>
    <t>Dologi és egyéb folyó kiadások</t>
  </si>
  <si>
    <t>Támogatás értékű műk. kiadás</t>
  </si>
  <si>
    <t>Támogatás értékű felh. kiadás</t>
  </si>
  <si>
    <t>Előző évi maradvány átadása</t>
  </si>
  <si>
    <t>Műk. c. p.e. átadás áht-n kívülre</t>
  </si>
  <si>
    <t>Felh. c. p.e átadás áht-n kívülre</t>
  </si>
  <si>
    <t>Pénzügyi befektetések kiadásai</t>
  </si>
  <si>
    <t>Finanszírozási kiadások</t>
  </si>
  <si>
    <t>Függő átfutó kiegyenlítő kiadások</t>
  </si>
  <si>
    <t>Támogatás értékü felh. bevétel</t>
  </si>
  <si>
    <t>Önk. sajátos felh.és tőke bevételei</t>
  </si>
  <si>
    <t>Előző évi visszatérítés</t>
  </si>
  <si>
    <t>Pénzf. nélküli bev. működési célra</t>
  </si>
  <si>
    <t>Pénzf. nélküli bev. fejlesztési célra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</si>
</sst>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%"/>
    <numFmt numFmtId="165" formatCode="#,##0.000"/>
    <numFmt numFmtId="166" formatCode="#,##0.000000"/>
  </numFmts>
  <fonts count="11">
    <font>
      <sz val="10"/>
      <name val="Arial CE"/>
      <family val="0"/>
    </font>
    <font>
      <b/>
      <sz val="14"/>
      <name val="Times New Roman CE"/>
      <family val="0"/>
    </font>
    <font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0"/>
    </font>
    <font>
      <i/>
      <sz val="10"/>
      <name val="Times New Roman CE"/>
      <family val="1"/>
    </font>
    <font>
      <b/>
      <i/>
      <sz val="10"/>
      <name val="Times New Roman CE"/>
      <family val="0"/>
    </font>
    <font>
      <sz val="11"/>
      <name val="Times New Roman CE"/>
      <family val="1"/>
    </font>
    <font>
      <sz val="11"/>
      <name val="Arial"/>
      <family val="2"/>
    </font>
    <font>
      <b/>
      <sz val="11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3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/>
    </xf>
    <xf numFmtId="3" fontId="3" fillId="0" borderId="9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5" fillId="0" borderId="8" xfId="0" applyFont="1" applyBorder="1" applyAlignment="1">
      <alignment/>
    </xf>
    <xf numFmtId="3" fontId="5" fillId="0" borderId="9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3" xfId="0" applyFont="1" applyBorder="1" applyAlignment="1">
      <alignment horizontal="right"/>
    </xf>
    <xf numFmtId="3" fontId="6" fillId="0" borderId="12" xfId="0" applyNumberFormat="1" applyFont="1" applyBorder="1" applyAlignment="1">
      <alignment/>
    </xf>
    <xf numFmtId="0" fontId="4" fillId="0" borderId="1" xfId="0" applyFont="1" applyBorder="1" applyAlignment="1">
      <alignment horizontal="right" vertical="center"/>
    </xf>
    <xf numFmtId="3" fontId="4" fillId="0" borderId="2" xfId="0" applyNumberFormat="1" applyFont="1" applyBorder="1" applyAlignment="1">
      <alignment vertical="center"/>
    </xf>
    <xf numFmtId="0" fontId="1" fillId="0" borderId="13" xfId="0" applyFont="1" applyBorder="1" applyAlignment="1">
      <alignment horizontal="left"/>
    </xf>
    <xf numFmtId="3" fontId="3" fillId="0" borderId="14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4" fillId="0" borderId="17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9" fillId="0" borderId="0" xfId="0" applyNumberFormat="1" applyFont="1" applyFill="1" applyBorder="1" applyAlignment="1">
      <alignment vertical="center"/>
    </xf>
    <xf numFmtId="164" fontId="3" fillId="0" borderId="9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4" fillId="0" borderId="16" xfId="0" applyNumberFormat="1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3" fillId="0" borderId="14" xfId="0" applyNumberFormat="1" applyFont="1" applyFill="1" applyBorder="1" applyAlignment="1">
      <alignment/>
    </xf>
    <xf numFmtId="9" fontId="3" fillId="0" borderId="15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3" fontId="10" fillId="0" borderId="14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" fillId="0" borderId="18" xfId="0" applyFont="1" applyBorder="1" applyAlignment="1">
      <alignment horizontal="left"/>
    </xf>
    <xf numFmtId="3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4" fillId="0" borderId="13" xfId="0" applyFont="1" applyBorder="1" applyAlignment="1">
      <alignment horizontal="right"/>
    </xf>
    <xf numFmtId="3" fontId="3" fillId="0" borderId="9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164" fontId="3" fillId="0" borderId="9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0" fontId="4" fillId="0" borderId="2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164" fontId="3" fillId="0" borderId="15" xfId="0" applyNumberFormat="1" applyFont="1" applyFill="1" applyBorder="1" applyAlignment="1">
      <alignment/>
    </xf>
    <xf numFmtId="10" fontId="4" fillId="0" borderId="10" xfId="0" applyNumberFormat="1" applyFont="1" applyFill="1" applyBorder="1" applyAlignment="1">
      <alignment/>
    </xf>
    <xf numFmtId="164" fontId="4" fillId="0" borderId="16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10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3" xfId="0" applyFont="1" applyBorder="1" applyAlignment="1">
      <alignment horizontal="right"/>
    </xf>
    <xf numFmtId="0" fontId="2" fillId="0" borderId="23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view="pageBreakPreview" zoomScaleSheetLayoutView="100"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35" sqref="O35"/>
    </sheetView>
  </sheetViews>
  <sheetFormatPr defaultColWidth="9.00390625" defaultRowHeight="12.75"/>
  <cols>
    <col min="1" max="1" width="28.00390625" style="0" customWidth="1"/>
    <col min="2" max="2" width="13.875" style="0" bestFit="1" customWidth="1"/>
    <col min="3" max="4" width="13.125" style="0" bestFit="1" customWidth="1"/>
    <col min="5" max="13" width="9.375" style="0" customWidth="1"/>
    <col min="14" max="14" width="9.875" style="0" bestFit="1" customWidth="1"/>
    <col min="15" max="15" width="12.625" style="43" customWidth="1"/>
    <col min="16" max="16" width="11.75390625" style="0" bestFit="1" customWidth="1"/>
    <col min="17" max="17" width="12.00390625" style="0" customWidth="1"/>
    <col min="18" max="18" width="9.25390625" style="0" bestFit="1" customWidth="1"/>
  </cols>
  <sheetData>
    <row r="1" spans="1:14" ht="18.75">
      <c r="A1" s="71" t="s">
        <v>42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6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73" t="s">
        <v>0</v>
      </c>
      <c r="N2" s="73"/>
    </row>
    <row r="3" spans="1:14" ht="16.5" thickBot="1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5" t="s">
        <v>14</v>
      </c>
    </row>
    <row r="4" spans="1:14" ht="18.75">
      <c r="A4" s="46" t="s">
        <v>15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1:15" ht="14.25" customHeight="1">
      <c r="A5" s="9" t="s">
        <v>16</v>
      </c>
      <c r="B5" s="63">
        <v>290203</v>
      </c>
      <c r="C5" s="63">
        <v>263203</v>
      </c>
      <c r="D5" s="63">
        <v>272203</v>
      </c>
      <c r="E5" s="63">
        <v>272203</v>
      </c>
      <c r="F5" s="63">
        <v>272203</v>
      </c>
      <c r="G5" s="63">
        <v>249448</v>
      </c>
      <c r="H5" s="63">
        <v>241958</v>
      </c>
      <c r="I5" s="63">
        <v>241958</v>
      </c>
      <c r="J5" s="63">
        <v>241958</v>
      </c>
      <c r="K5" s="63">
        <v>241958</v>
      </c>
      <c r="L5" s="63">
        <v>241958</v>
      </c>
      <c r="M5" s="63">
        <v>195226</v>
      </c>
      <c r="N5" s="11">
        <f aca="true" t="shared" si="0" ref="N5:N20">SUM(B5:M5)</f>
        <v>3024479</v>
      </c>
      <c r="O5" s="44">
        <v>3024479</v>
      </c>
    </row>
    <row r="6" spans="1:15" ht="14.25" customHeight="1">
      <c r="A6" s="12" t="s">
        <v>43</v>
      </c>
      <c r="B6" s="63">
        <v>203307</v>
      </c>
      <c r="C6" s="63">
        <v>203307</v>
      </c>
      <c r="D6" s="63">
        <v>203307</v>
      </c>
      <c r="E6" s="63">
        <v>203307</v>
      </c>
      <c r="F6" s="63">
        <v>203307</v>
      </c>
      <c r="G6" s="63">
        <v>203307</v>
      </c>
      <c r="H6" s="63">
        <v>203307</v>
      </c>
      <c r="I6" s="63">
        <v>203307</v>
      </c>
      <c r="J6" s="63">
        <v>203307</v>
      </c>
      <c r="K6" s="63">
        <v>203307</v>
      </c>
      <c r="L6" s="63">
        <v>203307</v>
      </c>
      <c r="M6" s="63">
        <v>203302</v>
      </c>
      <c r="N6" s="11">
        <f t="shared" si="0"/>
        <v>2439679</v>
      </c>
      <c r="O6" s="43">
        <v>2439679</v>
      </c>
    </row>
    <row r="7" spans="1:15" ht="14.25" customHeight="1">
      <c r="A7" s="12" t="s">
        <v>17</v>
      </c>
      <c r="B7" s="63">
        <v>198000</v>
      </c>
      <c r="C7" s="63">
        <v>0</v>
      </c>
      <c r="D7" s="63">
        <v>2000</v>
      </c>
      <c r="E7" s="63">
        <v>0</v>
      </c>
      <c r="F7" s="63">
        <v>2000</v>
      </c>
      <c r="G7" s="63">
        <v>0</v>
      </c>
      <c r="H7" s="63">
        <v>2000</v>
      </c>
      <c r="I7" s="63">
        <v>0</v>
      </c>
      <c r="J7" s="63">
        <v>2000</v>
      </c>
      <c r="K7" s="63">
        <v>0</v>
      </c>
      <c r="L7" s="63">
        <v>0</v>
      </c>
      <c r="M7" s="63">
        <v>0</v>
      </c>
      <c r="N7" s="52">
        <f t="shared" si="0"/>
        <v>206000</v>
      </c>
      <c r="O7" s="44">
        <v>206000</v>
      </c>
    </row>
    <row r="8" spans="1:15" ht="14.25" customHeight="1">
      <c r="A8" s="12" t="s">
        <v>60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52">
        <f t="shared" si="0"/>
        <v>0</v>
      </c>
      <c r="O8" s="45">
        <v>0</v>
      </c>
    </row>
    <row r="9" spans="1:15" ht="14.25" customHeight="1">
      <c r="A9" s="12" t="s">
        <v>46</v>
      </c>
      <c r="B9" s="63">
        <v>850794</v>
      </c>
      <c r="C9" s="63">
        <v>425397</v>
      </c>
      <c r="D9" s="63">
        <v>425397</v>
      </c>
      <c r="E9" s="63">
        <v>425397</v>
      </c>
      <c r="F9" s="63">
        <v>425397</v>
      </c>
      <c r="G9" s="63">
        <v>425397</v>
      </c>
      <c r="H9" s="63">
        <v>425397</v>
      </c>
      <c r="I9" s="63">
        <v>425397</v>
      </c>
      <c r="J9" s="63">
        <v>607710</v>
      </c>
      <c r="K9" s="63">
        <v>425397</v>
      </c>
      <c r="L9" s="63">
        <v>607710</v>
      </c>
      <c r="M9" s="63">
        <v>607708</v>
      </c>
      <c r="N9" s="52">
        <f t="shared" si="0"/>
        <v>6077098</v>
      </c>
      <c r="O9" s="43">
        <v>6077098</v>
      </c>
    </row>
    <row r="10" spans="1:15" ht="14.25" customHeight="1">
      <c r="A10" s="12" t="s">
        <v>47</v>
      </c>
      <c r="B10" s="63">
        <v>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52">
        <f t="shared" si="0"/>
        <v>0</v>
      </c>
      <c r="O10" s="43">
        <v>0</v>
      </c>
    </row>
    <row r="11" spans="1:15" ht="14.25" customHeight="1">
      <c r="A11" s="12" t="s">
        <v>45</v>
      </c>
      <c r="B11" s="63">
        <v>767283</v>
      </c>
      <c r="C11" s="63">
        <v>306913</v>
      </c>
      <c r="D11" s="63">
        <v>306913</v>
      </c>
      <c r="E11" s="63">
        <v>306913</v>
      </c>
      <c r="F11" s="63">
        <v>306913</v>
      </c>
      <c r="G11" s="63">
        <v>306913</v>
      </c>
      <c r="H11" s="63">
        <v>306913</v>
      </c>
      <c r="I11" s="63">
        <v>358065</v>
      </c>
      <c r="J11" s="63">
        <v>664979</v>
      </c>
      <c r="K11" s="63">
        <v>358065</v>
      </c>
      <c r="L11" s="63">
        <v>511522</v>
      </c>
      <c r="M11" s="63">
        <v>613829</v>
      </c>
      <c r="N11" s="52">
        <f t="shared" si="0"/>
        <v>5115221</v>
      </c>
      <c r="O11" s="43">
        <v>5115221</v>
      </c>
    </row>
    <row r="12" spans="1:15" ht="14.25" customHeight="1">
      <c r="A12" s="9" t="s">
        <v>44</v>
      </c>
      <c r="B12" s="63">
        <v>643875</v>
      </c>
      <c r="C12" s="63">
        <v>643875</v>
      </c>
      <c r="D12" s="63">
        <v>643875</v>
      </c>
      <c r="E12" s="63">
        <v>643875</v>
      </c>
      <c r="F12" s="63">
        <v>827839</v>
      </c>
      <c r="G12" s="63">
        <v>827839</v>
      </c>
      <c r="H12" s="63">
        <v>551892</v>
      </c>
      <c r="I12" s="63">
        <v>551892</v>
      </c>
      <c r="J12" s="63">
        <v>551892</v>
      </c>
      <c r="K12" s="63">
        <v>735857</v>
      </c>
      <c r="L12" s="63">
        <v>735857</v>
      </c>
      <c r="M12" s="63">
        <v>1839640</v>
      </c>
      <c r="N12" s="52">
        <f t="shared" si="0"/>
        <v>9198208</v>
      </c>
      <c r="O12" s="43">
        <v>9198208</v>
      </c>
    </row>
    <row r="13" spans="1:15" ht="14.25" customHeight="1">
      <c r="A13" s="9" t="s">
        <v>59</v>
      </c>
      <c r="B13" s="63">
        <v>47918</v>
      </c>
      <c r="C13" s="63">
        <v>47918</v>
      </c>
      <c r="D13" s="63">
        <v>47918</v>
      </c>
      <c r="E13" s="63">
        <v>47918</v>
      </c>
      <c r="F13" s="63">
        <v>68455</v>
      </c>
      <c r="G13" s="63">
        <v>68455</v>
      </c>
      <c r="H13" s="63">
        <v>54764</v>
      </c>
      <c r="I13" s="63">
        <v>54764</v>
      </c>
      <c r="J13" s="63">
        <v>54764</v>
      </c>
      <c r="K13" s="63">
        <v>54764</v>
      </c>
      <c r="L13" s="63">
        <v>54764</v>
      </c>
      <c r="M13" s="63">
        <v>82147</v>
      </c>
      <c r="N13" s="52">
        <f t="shared" si="0"/>
        <v>684549</v>
      </c>
      <c r="O13" s="43">
        <v>684549</v>
      </c>
    </row>
    <row r="14" spans="1:15" ht="14.25" customHeight="1">
      <c r="A14" s="9" t="s">
        <v>61</v>
      </c>
      <c r="B14" s="63">
        <v>0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52">
        <f t="shared" si="0"/>
        <v>0</v>
      </c>
      <c r="O14" s="43">
        <v>0</v>
      </c>
    </row>
    <row r="15" spans="1:15" ht="14.25" customHeight="1">
      <c r="A15" s="12" t="s">
        <v>40</v>
      </c>
      <c r="B15" s="63">
        <v>446</v>
      </c>
      <c r="C15" s="63">
        <v>446</v>
      </c>
      <c r="D15" s="63">
        <v>446</v>
      </c>
      <c r="E15" s="63">
        <v>446</v>
      </c>
      <c r="F15" s="63">
        <v>446</v>
      </c>
      <c r="G15" s="63">
        <v>446</v>
      </c>
      <c r="H15" s="63">
        <v>446</v>
      </c>
      <c r="I15" s="63">
        <v>446</v>
      </c>
      <c r="J15" s="63">
        <v>25094</v>
      </c>
      <c r="K15" s="63">
        <v>446</v>
      </c>
      <c r="L15" s="63">
        <v>446</v>
      </c>
      <c r="M15" s="63">
        <v>446</v>
      </c>
      <c r="N15" s="52">
        <f t="shared" si="0"/>
        <v>30000</v>
      </c>
      <c r="O15" s="43">
        <v>30000</v>
      </c>
    </row>
    <row r="16" spans="1:15" ht="14.25" customHeight="1">
      <c r="A16" s="12" t="s">
        <v>62</v>
      </c>
      <c r="B16" s="63">
        <v>59028</v>
      </c>
      <c r="C16" s="63">
        <v>59028</v>
      </c>
      <c r="D16" s="63">
        <v>59028</v>
      </c>
      <c r="E16" s="63">
        <v>59028</v>
      </c>
      <c r="F16" s="63">
        <v>4541</v>
      </c>
      <c r="G16" s="63">
        <v>108974</v>
      </c>
      <c r="H16" s="63">
        <v>4541</v>
      </c>
      <c r="I16" s="63">
        <v>4541</v>
      </c>
      <c r="J16" s="63">
        <v>81730</v>
      </c>
      <c r="K16" s="63">
        <v>4541</v>
      </c>
      <c r="L16" s="63">
        <v>4541</v>
      </c>
      <c r="M16" s="63">
        <v>4537</v>
      </c>
      <c r="N16" s="52">
        <f t="shared" si="0"/>
        <v>454058</v>
      </c>
      <c r="O16" s="43">
        <v>454058</v>
      </c>
    </row>
    <row r="17" spans="1:15" ht="14.25" customHeight="1">
      <c r="A17" s="12" t="s">
        <v>63</v>
      </c>
      <c r="B17" s="63">
        <v>1090477</v>
      </c>
      <c r="C17" s="63">
        <v>1090477</v>
      </c>
      <c r="D17" s="63">
        <v>1090477</v>
      </c>
      <c r="E17" s="63">
        <v>1090477</v>
      </c>
      <c r="F17" s="63">
        <v>396537</v>
      </c>
      <c r="G17" s="63">
        <v>1982685</v>
      </c>
      <c r="H17" s="63">
        <v>297403</v>
      </c>
      <c r="I17" s="63">
        <v>297403</v>
      </c>
      <c r="J17" s="63">
        <v>1982685</v>
      </c>
      <c r="K17" s="63">
        <v>198269</v>
      </c>
      <c r="L17" s="63">
        <v>297403</v>
      </c>
      <c r="M17" s="63">
        <v>99132</v>
      </c>
      <c r="N17" s="52">
        <f t="shared" si="0"/>
        <v>9913425</v>
      </c>
      <c r="O17" s="43">
        <v>9913425</v>
      </c>
    </row>
    <row r="18" spans="1:15" ht="14.25" customHeight="1">
      <c r="A18" s="12" t="s">
        <v>48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52">
        <f t="shared" si="0"/>
        <v>0</v>
      </c>
      <c r="O18" s="43">
        <v>0</v>
      </c>
    </row>
    <row r="19" spans="1:15" ht="14.25" customHeight="1">
      <c r="A19" s="12" t="s">
        <v>49</v>
      </c>
      <c r="B19" s="63">
        <v>0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52">
        <f t="shared" si="0"/>
        <v>0</v>
      </c>
      <c r="O19" s="43">
        <v>0</v>
      </c>
    </row>
    <row r="20" spans="1:15" ht="14.25" customHeight="1" thickBot="1">
      <c r="A20" s="50" t="s">
        <v>26</v>
      </c>
      <c r="B20" s="51">
        <v>-850794</v>
      </c>
      <c r="C20" s="51">
        <v>-425397</v>
      </c>
      <c r="D20" s="51">
        <v>-425397</v>
      </c>
      <c r="E20" s="51">
        <v>-425397</v>
      </c>
      <c r="F20" s="51">
        <v>-425397</v>
      </c>
      <c r="G20" s="51">
        <v>-425397</v>
      </c>
      <c r="H20" s="51">
        <v>-425397</v>
      </c>
      <c r="I20" s="51">
        <v>-425397</v>
      </c>
      <c r="J20" s="51">
        <v>-607710</v>
      </c>
      <c r="K20" s="51">
        <v>-425397</v>
      </c>
      <c r="L20" s="51">
        <v>-607710</v>
      </c>
      <c r="M20" s="51">
        <v>-607708</v>
      </c>
      <c r="N20" s="52">
        <f t="shared" si="0"/>
        <v>-6077098</v>
      </c>
      <c r="O20" s="43">
        <v>-6077098</v>
      </c>
    </row>
    <row r="21" spans="1:15" ht="13.5" thickBot="1">
      <c r="A21" s="19" t="s">
        <v>27</v>
      </c>
      <c r="B21" s="61">
        <f aca="true" t="shared" si="1" ref="B21:O21">SUM(B5:B20)</f>
        <v>3300537</v>
      </c>
      <c r="C21" s="61">
        <f t="shared" si="1"/>
        <v>2615167</v>
      </c>
      <c r="D21" s="61">
        <f t="shared" si="1"/>
        <v>2626167</v>
      </c>
      <c r="E21" s="61">
        <f t="shared" si="1"/>
        <v>2624167</v>
      </c>
      <c r="F21" s="61">
        <f t="shared" si="1"/>
        <v>2082241</v>
      </c>
      <c r="G21" s="61">
        <f t="shared" si="1"/>
        <v>3748067</v>
      </c>
      <c r="H21" s="61">
        <f t="shared" si="1"/>
        <v>1663224</v>
      </c>
      <c r="I21" s="61">
        <f t="shared" si="1"/>
        <v>1712376</v>
      </c>
      <c r="J21" s="61">
        <f t="shared" si="1"/>
        <v>3808409</v>
      </c>
      <c r="K21" s="61">
        <f t="shared" si="1"/>
        <v>1797207</v>
      </c>
      <c r="L21" s="61">
        <f t="shared" si="1"/>
        <v>2049798</v>
      </c>
      <c r="M21" s="61">
        <f t="shared" si="1"/>
        <v>3038259</v>
      </c>
      <c r="N21" s="61">
        <f t="shared" si="1"/>
        <v>31065619</v>
      </c>
      <c r="O21" s="43">
        <f t="shared" si="1"/>
        <v>31065619</v>
      </c>
    </row>
    <row r="22" spans="1:14" ht="18.75">
      <c r="A22" s="49" t="s">
        <v>28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7"/>
    </row>
    <row r="23" spans="1:15" ht="14.25" customHeight="1">
      <c r="A23" s="9" t="s">
        <v>29</v>
      </c>
      <c r="B23" s="63">
        <v>1031738</v>
      </c>
      <c r="C23" s="63">
        <v>697120</v>
      </c>
      <c r="D23" s="63">
        <v>697120</v>
      </c>
      <c r="E23" s="63">
        <v>697120</v>
      </c>
      <c r="F23" s="63">
        <v>697120</v>
      </c>
      <c r="G23" s="63">
        <v>697120</v>
      </c>
      <c r="H23" s="63">
        <v>697120</v>
      </c>
      <c r="I23" s="63">
        <v>697120</v>
      </c>
      <c r="J23" s="63">
        <v>697120</v>
      </c>
      <c r="K23" s="63">
        <v>697120</v>
      </c>
      <c r="L23" s="63">
        <v>697120</v>
      </c>
      <c r="M23" s="63">
        <v>697119</v>
      </c>
      <c r="N23" s="52">
        <f aca="true" t="shared" si="2" ref="N23:N37">SUM(B23:M23)</f>
        <v>8700057</v>
      </c>
      <c r="O23" s="43">
        <v>8700057</v>
      </c>
    </row>
    <row r="24" spans="1:15" ht="14.25" customHeight="1">
      <c r="A24" s="12" t="s">
        <v>30</v>
      </c>
      <c r="B24" s="63">
        <v>328398</v>
      </c>
      <c r="C24" s="63">
        <v>221890</v>
      </c>
      <c r="D24" s="63">
        <v>221890</v>
      </c>
      <c r="E24" s="63">
        <v>221890</v>
      </c>
      <c r="F24" s="63">
        <v>221890</v>
      </c>
      <c r="G24" s="63">
        <v>221890</v>
      </c>
      <c r="H24" s="63">
        <v>221890</v>
      </c>
      <c r="I24" s="63">
        <v>221890</v>
      </c>
      <c r="J24" s="63">
        <v>221890</v>
      </c>
      <c r="K24" s="63">
        <v>221890</v>
      </c>
      <c r="L24" s="63">
        <v>221890</v>
      </c>
      <c r="M24" s="63">
        <v>221893</v>
      </c>
      <c r="N24" s="52">
        <f t="shared" si="2"/>
        <v>2769191</v>
      </c>
      <c r="O24" s="43">
        <v>2769191</v>
      </c>
    </row>
    <row r="25" spans="1:15" ht="14.25" customHeight="1">
      <c r="A25" s="12" t="s">
        <v>50</v>
      </c>
      <c r="B25" s="63">
        <v>829390</v>
      </c>
      <c r="C25" s="63">
        <v>829390</v>
      </c>
      <c r="D25" s="63">
        <v>714916</v>
      </c>
      <c r="E25" s="63">
        <v>528949</v>
      </c>
      <c r="F25" s="63">
        <v>457458</v>
      </c>
      <c r="G25" s="63">
        <v>325966</v>
      </c>
      <c r="H25" s="63">
        <v>315966</v>
      </c>
      <c r="I25" s="63">
        <v>315966</v>
      </c>
      <c r="J25" s="63">
        <v>457458</v>
      </c>
      <c r="K25" s="63">
        <v>714916</v>
      </c>
      <c r="L25" s="63">
        <v>829390</v>
      </c>
      <c r="M25" s="63">
        <v>829390</v>
      </c>
      <c r="N25" s="52">
        <f t="shared" si="2"/>
        <v>7149155</v>
      </c>
      <c r="O25" s="43">
        <v>7149155</v>
      </c>
    </row>
    <row r="26" spans="1:15" ht="14.25" customHeight="1">
      <c r="A26" s="9" t="s">
        <v>51</v>
      </c>
      <c r="B26" s="63">
        <v>0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52">
        <f t="shared" si="2"/>
        <v>0</v>
      </c>
      <c r="O26" s="43">
        <v>0</v>
      </c>
    </row>
    <row r="27" spans="1:15" ht="14.25" customHeight="1">
      <c r="A27" s="9" t="s">
        <v>52</v>
      </c>
      <c r="B27" s="63">
        <v>0</v>
      </c>
      <c r="C27" s="63">
        <v>0</v>
      </c>
      <c r="D27" s="63">
        <v>0</v>
      </c>
      <c r="E27" s="63">
        <v>6750</v>
      </c>
      <c r="F27" s="63">
        <v>0</v>
      </c>
      <c r="G27" s="63">
        <v>0</v>
      </c>
      <c r="H27" s="63">
        <v>6750</v>
      </c>
      <c r="I27" s="63">
        <v>0</v>
      </c>
      <c r="J27" s="63">
        <v>0</v>
      </c>
      <c r="K27" s="63">
        <v>6750</v>
      </c>
      <c r="L27" s="63">
        <v>0</v>
      </c>
      <c r="M27" s="63">
        <v>6750</v>
      </c>
      <c r="N27" s="52">
        <f t="shared" si="2"/>
        <v>27000</v>
      </c>
      <c r="O27" s="43">
        <v>27000</v>
      </c>
    </row>
    <row r="28" spans="1:15" ht="14.25" customHeight="1">
      <c r="A28" s="9" t="s">
        <v>53</v>
      </c>
      <c r="B28" s="63">
        <v>0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52">
        <f t="shared" si="2"/>
        <v>0</v>
      </c>
      <c r="O28" s="43">
        <v>0</v>
      </c>
    </row>
    <row r="29" spans="1:15" ht="14.25" customHeight="1">
      <c r="A29" s="9" t="s">
        <v>54</v>
      </c>
      <c r="B29" s="63">
        <v>4976</v>
      </c>
      <c r="C29" s="63">
        <v>4976</v>
      </c>
      <c r="D29" s="63">
        <v>4976</v>
      </c>
      <c r="E29" s="63">
        <v>4976</v>
      </c>
      <c r="F29" s="63">
        <v>4976</v>
      </c>
      <c r="G29" s="63">
        <v>54736</v>
      </c>
      <c r="H29" s="63">
        <v>19904</v>
      </c>
      <c r="I29" s="63">
        <v>14928</v>
      </c>
      <c r="J29" s="63">
        <v>57224</v>
      </c>
      <c r="K29" s="63">
        <v>9952</v>
      </c>
      <c r="L29" s="63">
        <v>34832</v>
      </c>
      <c r="M29" s="63">
        <v>32343</v>
      </c>
      <c r="N29" s="52">
        <f t="shared" si="2"/>
        <v>248799</v>
      </c>
      <c r="O29" s="43">
        <v>248799</v>
      </c>
    </row>
    <row r="30" spans="1:15" ht="14.25" customHeight="1">
      <c r="A30" s="9" t="s">
        <v>55</v>
      </c>
      <c r="B30" s="63">
        <v>400</v>
      </c>
      <c r="C30" s="63">
        <v>400</v>
      </c>
      <c r="D30" s="63">
        <v>120</v>
      </c>
      <c r="E30" s="63">
        <v>40</v>
      </c>
      <c r="F30" s="63">
        <v>40</v>
      </c>
      <c r="G30" s="63">
        <v>520</v>
      </c>
      <c r="H30" s="63">
        <v>480</v>
      </c>
      <c r="I30" s="63">
        <v>80</v>
      </c>
      <c r="J30" s="63">
        <v>480</v>
      </c>
      <c r="K30" s="63">
        <v>480</v>
      </c>
      <c r="L30" s="63">
        <v>480</v>
      </c>
      <c r="M30" s="63">
        <v>480</v>
      </c>
      <c r="N30" s="52">
        <f t="shared" si="2"/>
        <v>4000</v>
      </c>
      <c r="O30" s="43">
        <v>4000</v>
      </c>
    </row>
    <row r="31" spans="1:15" ht="14.25" customHeight="1">
      <c r="A31" s="12" t="s">
        <v>33</v>
      </c>
      <c r="B31" s="63">
        <v>25435</v>
      </c>
      <c r="C31" s="63">
        <v>22891</v>
      </c>
      <c r="D31" s="63">
        <v>22891</v>
      </c>
      <c r="E31" s="63">
        <v>22891</v>
      </c>
      <c r="F31" s="63">
        <v>22891</v>
      </c>
      <c r="G31" s="63">
        <v>22891</v>
      </c>
      <c r="H31" s="63">
        <v>20348</v>
      </c>
      <c r="I31" s="63">
        <v>20348</v>
      </c>
      <c r="J31" s="63">
        <v>20348</v>
      </c>
      <c r="K31" s="63">
        <v>20348</v>
      </c>
      <c r="L31" s="63">
        <v>20348</v>
      </c>
      <c r="M31" s="63">
        <v>12715</v>
      </c>
      <c r="N31" s="52">
        <f t="shared" si="2"/>
        <v>254345</v>
      </c>
      <c r="O31" s="43">
        <v>254345</v>
      </c>
    </row>
    <row r="32" spans="1:15" ht="14.25" customHeight="1">
      <c r="A32" s="12" t="s">
        <v>34</v>
      </c>
      <c r="B32" s="63">
        <v>2617</v>
      </c>
      <c r="C32" s="63">
        <v>2617</v>
      </c>
      <c r="D32" s="63">
        <v>2617</v>
      </c>
      <c r="E32" s="63">
        <v>2617</v>
      </c>
      <c r="F32" s="63">
        <v>2617</v>
      </c>
      <c r="G32" s="63">
        <v>10469</v>
      </c>
      <c r="H32" s="63">
        <v>2094</v>
      </c>
      <c r="I32" s="63">
        <v>2617</v>
      </c>
      <c r="J32" s="63">
        <v>2094</v>
      </c>
      <c r="K32" s="63">
        <v>2094</v>
      </c>
      <c r="L32" s="63">
        <v>10469</v>
      </c>
      <c r="M32" s="63">
        <v>9423</v>
      </c>
      <c r="N32" s="52">
        <f t="shared" si="2"/>
        <v>52345</v>
      </c>
      <c r="O32" s="43">
        <v>52345</v>
      </c>
    </row>
    <row r="33" spans="1:15" ht="14.25" customHeight="1">
      <c r="A33" s="12" t="s">
        <v>35</v>
      </c>
      <c r="B33" s="63">
        <v>139792</v>
      </c>
      <c r="C33" s="63">
        <v>139792</v>
      </c>
      <c r="D33" s="63">
        <v>139792</v>
      </c>
      <c r="E33" s="63">
        <v>163090</v>
      </c>
      <c r="F33" s="63">
        <v>163090</v>
      </c>
      <c r="G33" s="63">
        <v>465972</v>
      </c>
      <c r="H33" s="63">
        <v>232986</v>
      </c>
      <c r="I33" s="63">
        <v>139792</v>
      </c>
      <c r="J33" s="63">
        <v>232986</v>
      </c>
      <c r="K33" s="63">
        <v>139792</v>
      </c>
      <c r="L33" s="63">
        <v>139792</v>
      </c>
      <c r="M33" s="63">
        <v>232984</v>
      </c>
      <c r="N33" s="52">
        <f t="shared" si="2"/>
        <v>2329860</v>
      </c>
      <c r="O33" s="43">
        <v>2329860</v>
      </c>
    </row>
    <row r="34" spans="1:15" ht="14.25" customHeight="1">
      <c r="A34" s="9" t="s">
        <v>56</v>
      </c>
      <c r="B34" s="63">
        <v>0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52">
        <f t="shared" si="2"/>
        <v>0</v>
      </c>
      <c r="O34" s="43">
        <v>0</v>
      </c>
    </row>
    <row r="35" spans="1:15" ht="14.25" customHeight="1">
      <c r="A35" s="12" t="s">
        <v>37</v>
      </c>
      <c r="B35" s="63">
        <v>0</v>
      </c>
      <c r="C35" s="63">
        <v>0</v>
      </c>
      <c r="D35" s="63">
        <v>57628</v>
      </c>
      <c r="E35" s="63">
        <v>115255</v>
      </c>
      <c r="F35" s="63">
        <v>115255</v>
      </c>
      <c r="G35" s="63">
        <f>307347</f>
        <v>307347</v>
      </c>
      <c r="H35" s="63">
        <v>57628</v>
      </c>
      <c r="I35" s="63">
        <v>57628</v>
      </c>
      <c r="J35" s="63">
        <f>57628</f>
        <v>57628</v>
      </c>
      <c r="K35" s="63">
        <v>38418</v>
      </c>
      <c r="L35" s="63">
        <v>76837</v>
      </c>
      <c r="M35" s="63">
        <v>76836</v>
      </c>
      <c r="N35" s="52">
        <f t="shared" si="2"/>
        <v>960460</v>
      </c>
      <c r="O35" s="43">
        <v>9447460</v>
      </c>
    </row>
    <row r="36" spans="1:15" ht="14.25" customHeight="1">
      <c r="A36" s="9" t="s">
        <v>57</v>
      </c>
      <c r="B36" s="63">
        <v>4170</v>
      </c>
      <c r="C36" s="63">
        <v>8341</v>
      </c>
      <c r="D36" s="63">
        <v>20852</v>
      </c>
      <c r="E36" s="63">
        <v>4170</v>
      </c>
      <c r="F36" s="63">
        <v>8341</v>
      </c>
      <c r="G36" s="63">
        <v>4170</v>
      </c>
      <c r="H36" s="63">
        <v>4170</v>
      </c>
      <c r="I36" s="63">
        <v>8341</v>
      </c>
      <c r="J36" s="63">
        <v>4170</v>
      </c>
      <c r="K36" s="63">
        <v>4170</v>
      </c>
      <c r="L36" s="63">
        <v>8341</v>
      </c>
      <c r="M36" s="63">
        <v>4171</v>
      </c>
      <c r="N36" s="52">
        <f t="shared" si="2"/>
        <v>83407</v>
      </c>
      <c r="O36" s="43">
        <v>83407</v>
      </c>
    </row>
    <row r="37" spans="1:15" ht="14.25" customHeight="1" thickBot="1">
      <c r="A37" s="9" t="s">
        <v>58</v>
      </c>
      <c r="B37" s="44">
        <v>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52">
        <f t="shared" si="2"/>
        <v>0</v>
      </c>
      <c r="O37" s="43">
        <v>0</v>
      </c>
    </row>
    <row r="38" spans="1:15" ht="13.5" thickBot="1">
      <c r="A38" s="19" t="s">
        <v>38</v>
      </c>
      <c r="B38" s="62">
        <f aca="true" t="shared" si="3" ref="B38:O38">SUM(B23:B37)</f>
        <v>2366916</v>
      </c>
      <c r="C38" s="62">
        <f t="shared" si="3"/>
        <v>1927417</v>
      </c>
      <c r="D38" s="62">
        <f t="shared" si="3"/>
        <v>1882802</v>
      </c>
      <c r="E38" s="62">
        <f t="shared" si="3"/>
        <v>1767748</v>
      </c>
      <c r="F38" s="62">
        <f t="shared" si="3"/>
        <v>1693678</v>
      </c>
      <c r="G38" s="62">
        <f t="shared" si="3"/>
        <v>2111081</v>
      </c>
      <c r="H38" s="62">
        <f t="shared" si="3"/>
        <v>1579336</v>
      </c>
      <c r="I38" s="62">
        <f t="shared" si="3"/>
        <v>1478710</v>
      </c>
      <c r="J38" s="62">
        <f t="shared" si="3"/>
        <v>1751398</v>
      </c>
      <c r="K38" s="62">
        <f t="shared" si="3"/>
        <v>1855930</v>
      </c>
      <c r="L38" s="62">
        <f t="shared" si="3"/>
        <v>2039499</v>
      </c>
      <c r="M38" s="62">
        <f t="shared" si="3"/>
        <v>2124104</v>
      </c>
      <c r="N38" s="62">
        <f t="shared" si="3"/>
        <v>22578619</v>
      </c>
      <c r="O38" s="43">
        <f t="shared" si="3"/>
        <v>31065619</v>
      </c>
    </row>
    <row r="41" ht="12.75">
      <c r="O41" s="43">
        <f>9447460-8487000</f>
        <v>960460</v>
      </c>
    </row>
    <row r="42" ht="12.75">
      <c r="O42" s="43">
        <f>22578619+8487000</f>
        <v>31065619</v>
      </c>
    </row>
  </sheetData>
  <mergeCells count="2">
    <mergeCell ref="A1:N1"/>
    <mergeCell ref="M2:N2"/>
  </mergeCells>
  <printOptions horizontalCentered="1" verticalCentered="1"/>
  <pageMargins left="0.3937007874015748" right="0.3937007874015748" top="0.88" bottom="0.5905511811023623" header="0.64" footer="0.31496062992125984"/>
  <pageSetup firstPageNumber="15" useFirstPageNumber="1" horizontalDpi="600" verticalDpi="600" orientation="landscape" paperSize="9" scale="86" r:id="rId1"/>
  <headerFooter alignWithMargins="0">
    <oddHeader>&amp;R&amp;"Times New Roman CE,Normál"&amp;12A költségvetési rendelet-tervezet 9.sz. melléklete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35"/>
  <sheetViews>
    <sheetView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M5"/>
    </sheetView>
  </sheetViews>
  <sheetFormatPr defaultColWidth="9.00390625" defaultRowHeight="12.75"/>
  <cols>
    <col min="1" max="1" width="26.875" style="0" customWidth="1"/>
    <col min="2" max="2" width="13.875" style="0" bestFit="1" customWidth="1"/>
    <col min="3" max="4" width="13.125" style="0" bestFit="1" customWidth="1"/>
    <col min="5" max="13" width="9.375" style="0" customWidth="1"/>
    <col min="14" max="14" width="12.25390625" style="0" customWidth="1"/>
    <col min="15" max="15" width="12.625" style="40" customWidth="1"/>
    <col min="16" max="16" width="11.75390625" style="0" bestFit="1" customWidth="1"/>
    <col min="17" max="17" width="12.00390625" style="0" customWidth="1"/>
    <col min="18" max="18" width="9.25390625" style="0" bestFit="1" customWidth="1"/>
  </cols>
  <sheetData>
    <row r="1" spans="1:15" ht="18.75">
      <c r="A1" s="71" t="s">
        <v>42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28"/>
    </row>
    <row r="2" spans="1:15" ht="16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73" t="s">
        <v>0</v>
      </c>
      <c r="N2" s="73"/>
      <c r="O2" s="28"/>
    </row>
    <row r="3" spans="1:15" ht="16.5" thickBot="1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5" t="s">
        <v>14</v>
      </c>
      <c r="O3" s="28"/>
    </row>
    <row r="4" spans="1:14" ht="18.75">
      <c r="A4" s="6" t="s">
        <v>15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5" spans="1:15" ht="12.75">
      <c r="A5" s="9" t="s">
        <v>16</v>
      </c>
      <c r="B5" s="34">
        <v>0.08809396429770297</v>
      </c>
      <c r="C5" s="34">
        <v>0.08997131707667962</v>
      </c>
      <c r="D5" s="34">
        <v>0.08982295712847073</v>
      </c>
      <c r="E5" s="34">
        <v>0.08005480326571716</v>
      </c>
      <c r="F5" s="34">
        <v>0.07926205162326763</v>
      </c>
      <c r="G5" s="34">
        <v>0.10711663189948688</v>
      </c>
      <c r="H5" s="34">
        <v>0.07705051431448712</v>
      </c>
      <c r="I5" s="34">
        <v>0.08024325037164916</v>
      </c>
      <c r="J5" s="34">
        <v>0.08900472953531866</v>
      </c>
      <c r="K5" s="34">
        <v>0.08147433822471586</v>
      </c>
      <c r="L5" s="34">
        <v>0.0867602233491584</v>
      </c>
      <c r="M5" s="34">
        <v>0.0511452189133458</v>
      </c>
      <c r="N5" s="35">
        <f aca="true" t="shared" si="0" ref="N5:N20">SUM(B5:M5)</f>
        <v>0.9999999999999999</v>
      </c>
      <c r="O5" s="41"/>
    </row>
    <row r="6" spans="1:14" ht="12.75">
      <c r="A6" s="12" t="s">
        <v>17</v>
      </c>
      <c r="B6" s="34">
        <v>0.06468764203284808</v>
      </c>
      <c r="C6" s="34">
        <v>0.06469839955033577</v>
      </c>
      <c r="D6" s="34">
        <v>0.06468226327410423</v>
      </c>
      <c r="E6" s="34">
        <v>0.06454241554676428</v>
      </c>
      <c r="F6" s="34">
        <v>0.0647145358265673</v>
      </c>
      <c r="G6" s="34">
        <v>0.12409334297924068</v>
      </c>
      <c r="H6" s="34">
        <v>0.06472798272342692</v>
      </c>
      <c r="I6" s="34">
        <v>0.06470108892970769</v>
      </c>
      <c r="J6" s="34">
        <v>0.06501843569559453</v>
      </c>
      <c r="K6" s="34">
        <v>0.06740122581911773</v>
      </c>
      <c r="L6" s="34">
        <v>0.22484825176893927</v>
      </c>
      <c r="M6" s="34">
        <v>0.06588441585335353</v>
      </c>
      <c r="N6" s="35">
        <f t="shared" si="0"/>
        <v>1</v>
      </c>
    </row>
    <row r="7" spans="1:14" ht="12.75">
      <c r="A7" s="12" t="s">
        <v>18</v>
      </c>
      <c r="B7" s="34">
        <v>0.13880673646822975</v>
      </c>
      <c r="C7" s="34">
        <v>0.0694034363287719</v>
      </c>
      <c r="D7" s="34">
        <v>0.0694034363287719</v>
      </c>
      <c r="E7" s="34">
        <v>0.0694034363287719</v>
      </c>
      <c r="F7" s="34">
        <v>0.0694034363287719</v>
      </c>
      <c r="G7" s="34">
        <v>0.0694034363287719</v>
      </c>
      <c r="H7" s="34">
        <v>0.07102940054911532</v>
      </c>
      <c r="I7" s="34">
        <v>0.06835859191144426</v>
      </c>
      <c r="J7" s="34">
        <v>0.09784398696940644</v>
      </c>
      <c r="K7" s="34">
        <v>0.07065923799355008</v>
      </c>
      <c r="L7" s="34">
        <v>0.11261085810162991</v>
      </c>
      <c r="M7" s="34">
        <v>0.09367400636276475</v>
      </c>
      <c r="N7" s="35">
        <f t="shared" si="0"/>
        <v>1</v>
      </c>
    </row>
    <row r="8" spans="1:14" ht="12.75">
      <c r="A8" s="14" t="s">
        <v>19</v>
      </c>
      <c r="B8" s="34">
        <v>0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0.06498190254014256</v>
      </c>
      <c r="I8" s="34">
        <v>0.06433208351474115</v>
      </c>
      <c r="J8" s="34">
        <v>-0.012937896795742386</v>
      </c>
      <c r="K8" s="34">
        <v>0.15530674707094075</v>
      </c>
      <c r="L8" s="34">
        <v>0.49379747740254337</v>
      </c>
      <c r="M8" s="34">
        <v>0.23451968626737454</v>
      </c>
      <c r="N8" s="35">
        <f t="shared" si="0"/>
        <v>0.9999999999999999</v>
      </c>
    </row>
    <row r="9" spans="1:14" ht="12.75">
      <c r="A9" s="14" t="s">
        <v>20</v>
      </c>
      <c r="B9" s="34">
        <v>0.14177812776514012</v>
      </c>
      <c r="C9" s="34">
        <v>0.07088913343490756</v>
      </c>
      <c r="D9" s="34">
        <v>0.07088913343490756</v>
      </c>
      <c r="E9" s="34">
        <v>0.07088913343490756</v>
      </c>
      <c r="F9" s="34">
        <v>0.07088913343490756</v>
      </c>
      <c r="G9" s="34">
        <v>0.07088913343490756</v>
      </c>
      <c r="H9" s="34">
        <v>0.0711588573997636</v>
      </c>
      <c r="I9" s="34">
        <v>0.06844478608552629</v>
      </c>
      <c r="J9" s="34">
        <v>0.1002154592311323</v>
      </c>
      <c r="K9" s="34">
        <v>0.06884721591034759</v>
      </c>
      <c r="L9" s="34">
        <v>0.10445091837601969</v>
      </c>
      <c r="M9" s="34">
        <v>0.09065896805753258</v>
      </c>
      <c r="N9" s="35">
        <f t="shared" si="0"/>
        <v>1</v>
      </c>
    </row>
    <row r="10" spans="1:14" ht="12.75">
      <c r="A10" s="12" t="s">
        <v>21</v>
      </c>
      <c r="B10" s="34">
        <v>0.12918271146567967</v>
      </c>
      <c r="C10" s="34">
        <v>0.06507966456459145</v>
      </c>
      <c r="D10" s="34">
        <v>0.06481778577738805</v>
      </c>
      <c r="E10" s="34">
        <v>0.06458184509456649</v>
      </c>
      <c r="F10" s="34">
        <v>0.0630288251114666</v>
      </c>
      <c r="G10" s="34">
        <v>0.07521704429344411</v>
      </c>
      <c r="H10" s="34">
        <v>0.06699581800903721</v>
      </c>
      <c r="I10" s="34">
        <v>0.06606070131254493</v>
      </c>
      <c r="J10" s="34">
        <v>0.12692571211624576</v>
      </c>
      <c r="K10" s="34">
        <v>0.06603514747637615</v>
      </c>
      <c r="L10" s="34">
        <v>0.09615908550313582</v>
      </c>
      <c r="M10" s="34">
        <v>0.11591565927552376</v>
      </c>
      <c r="N10" s="35">
        <f t="shared" si="0"/>
        <v>0.9999999999999999</v>
      </c>
    </row>
    <row r="11" spans="1:14" ht="12.75">
      <c r="A11" s="12" t="s">
        <v>22</v>
      </c>
      <c r="B11" s="34">
        <v>0.060914452563081006</v>
      </c>
      <c r="C11" s="34">
        <v>0.06688639850121608</v>
      </c>
      <c r="D11" s="34">
        <v>0.06698697267082257</v>
      </c>
      <c r="E11" s="34">
        <v>0.10219259926025365</v>
      </c>
      <c r="F11" s="34">
        <v>0.0678811584863139</v>
      </c>
      <c r="G11" s="34">
        <v>0.12131065988277573</v>
      </c>
      <c r="H11" s="34">
        <v>0.07960559917175936</v>
      </c>
      <c r="I11" s="34">
        <v>0.07531952889558123</v>
      </c>
      <c r="J11" s="34">
        <v>0.08053556706215163</v>
      </c>
      <c r="K11" s="34">
        <v>0.07569345615400898</v>
      </c>
      <c r="L11" s="34">
        <v>0.08006005897727875</v>
      </c>
      <c r="M11" s="34">
        <v>0.1226135483747571</v>
      </c>
      <c r="N11" s="35">
        <f t="shared" si="0"/>
        <v>1</v>
      </c>
    </row>
    <row r="12" spans="1:14" ht="12.75">
      <c r="A12" s="14" t="s">
        <v>19</v>
      </c>
      <c r="B12" s="34">
        <v>0.009659130678238958</v>
      </c>
      <c r="C12" s="34">
        <v>0.08211957893486556</v>
      </c>
      <c r="D12" s="34">
        <v>0.07919893270211742</v>
      </c>
      <c r="E12" s="34">
        <v>0.10756122858033686</v>
      </c>
      <c r="F12" s="34">
        <v>0.09107771209682038</v>
      </c>
      <c r="G12" s="34">
        <v>0.09080197933701119</v>
      </c>
      <c r="H12" s="34">
        <v>0.06204517351014166</v>
      </c>
      <c r="I12" s="34">
        <v>0.04797750020679957</v>
      </c>
      <c r="J12" s="34">
        <v>0.08871489444737853</v>
      </c>
      <c r="K12" s="34">
        <v>0.08152993503311974</v>
      </c>
      <c r="L12" s="34">
        <v>0.07553805006034306</v>
      </c>
      <c r="M12" s="34">
        <v>0.18377588441282708</v>
      </c>
      <c r="N12" s="35">
        <f t="shared" si="0"/>
        <v>1</v>
      </c>
    </row>
    <row r="13" spans="1:14" ht="12.75">
      <c r="A13" s="14" t="s">
        <v>20</v>
      </c>
      <c r="B13" s="34">
        <v>0.06575512376059374</v>
      </c>
      <c r="C13" s="34">
        <v>0.0654477416932976</v>
      </c>
      <c r="D13" s="34">
        <v>0.06583364690844652</v>
      </c>
      <c r="E13" s="34">
        <v>0.10168557348489636</v>
      </c>
      <c r="F13" s="34">
        <v>0.06569042228927627</v>
      </c>
      <c r="G13" s="34">
        <v>0.1241919702669697</v>
      </c>
      <c r="H13" s="34">
        <v>0.08126404640397536</v>
      </c>
      <c r="I13" s="34">
        <v>0.0779017733511466</v>
      </c>
      <c r="J13" s="34">
        <v>0.07976309245790172</v>
      </c>
      <c r="K13" s="34">
        <v>0.07514224558374899</v>
      </c>
      <c r="L13" s="34">
        <v>0.08048712796278404</v>
      </c>
      <c r="M13" s="34">
        <v>0.11683723583696311</v>
      </c>
      <c r="N13" s="35">
        <f t="shared" si="0"/>
        <v>0.9999999999999999</v>
      </c>
    </row>
    <row r="14" spans="1:14" ht="12.75">
      <c r="A14" s="12" t="s">
        <v>23</v>
      </c>
      <c r="B14" s="34">
        <v>0.08337093370615639</v>
      </c>
      <c r="C14" s="34">
        <v>0.08333884555268044</v>
      </c>
      <c r="D14" s="34">
        <v>0.08262727667559974</v>
      </c>
      <c r="E14" s="34">
        <v>0.08355192215076197</v>
      </c>
      <c r="F14" s="34">
        <v>0.08397779387189452</v>
      </c>
      <c r="G14" s="34">
        <v>0.08220675298004651</v>
      </c>
      <c r="H14" s="34">
        <v>0.08347930159289535</v>
      </c>
      <c r="I14" s="34">
        <v>0.08389813643826563</v>
      </c>
      <c r="J14" s="34">
        <v>0.08474143562961602</v>
      </c>
      <c r="K14" s="34">
        <v>0.08348633846865762</v>
      </c>
      <c r="L14" s="34">
        <v>0.08305821494728113</v>
      </c>
      <c r="M14" s="34">
        <v>0.08226304798614467</v>
      </c>
      <c r="N14" s="35">
        <f t="shared" si="0"/>
        <v>1</v>
      </c>
    </row>
    <row r="15" spans="1:14" ht="12.75">
      <c r="A15" s="12" t="s">
        <v>24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5">
        <f t="shared" si="0"/>
        <v>0</v>
      </c>
    </row>
    <row r="16" spans="1:14" ht="12.75">
      <c r="A16" s="12" t="s">
        <v>40</v>
      </c>
      <c r="B16" s="34">
        <v>0.01488130669777852</v>
      </c>
      <c r="C16" s="34">
        <v>0.01488130669777852</v>
      </c>
      <c r="D16" s="34">
        <v>0.01488130669777852</v>
      </c>
      <c r="E16" s="34">
        <v>0.01488130669777852</v>
      </c>
      <c r="F16" s="34">
        <v>0.01488130669777852</v>
      </c>
      <c r="G16" s="34">
        <v>0.01488130669777852</v>
      </c>
      <c r="H16" s="34">
        <v>0.01488130669777852</v>
      </c>
      <c r="I16" s="34">
        <v>0.01488130669777852</v>
      </c>
      <c r="J16" s="34">
        <v>0.8363056263244363</v>
      </c>
      <c r="K16" s="34">
        <v>0.01488130669777852</v>
      </c>
      <c r="L16" s="34">
        <v>0.01488130669777852</v>
      </c>
      <c r="M16" s="34">
        <v>0.01488130669777852</v>
      </c>
      <c r="N16" s="35">
        <f t="shared" si="0"/>
        <v>1</v>
      </c>
    </row>
    <row r="17" spans="1:14" ht="12.75">
      <c r="A17" s="12" t="s">
        <v>25</v>
      </c>
      <c r="B17" s="34">
        <v>0.010074676953293345</v>
      </c>
      <c r="C17" s="34">
        <v>0.010241410737373094</v>
      </c>
      <c r="D17" s="34">
        <v>0.011222737966554333</v>
      </c>
      <c r="E17" s="34">
        <v>0.4737464939982903</v>
      </c>
      <c r="F17" s="34">
        <v>0.013807818118875536</v>
      </c>
      <c r="G17" s="34">
        <v>0.24616265021936798</v>
      </c>
      <c r="H17" s="34">
        <v>0.014094656747419512</v>
      </c>
      <c r="I17" s="34">
        <v>0.014373723886027567</v>
      </c>
      <c r="J17" s="34">
        <v>0.18200617480200362</v>
      </c>
      <c r="K17" s="34">
        <v>0.00839391562987926</v>
      </c>
      <c r="L17" s="34">
        <v>0.011967388002232538</v>
      </c>
      <c r="M17" s="34">
        <v>0.003908352938682944</v>
      </c>
      <c r="N17" s="35">
        <f t="shared" si="0"/>
        <v>1</v>
      </c>
    </row>
    <row r="18" spans="1:14" ht="12.75">
      <c r="A18" s="14" t="s">
        <v>19</v>
      </c>
      <c r="B18" s="34">
        <v>0.0272951758269436</v>
      </c>
      <c r="C18" s="34">
        <v>0.024457121491056104</v>
      </c>
      <c r="D18" s="34">
        <v>0.03138218179646503</v>
      </c>
      <c r="E18" s="34">
        <v>0.33023475616880843</v>
      </c>
      <c r="F18" s="34">
        <v>0.03657273130921809</v>
      </c>
      <c r="G18" s="34">
        <v>0.2291969059235621</v>
      </c>
      <c r="H18" s="34">
        <v>0.03337115674732488</v>
      </c>
      <c r="I18" s="34">
        <v>0.037808700077637536</v>
      </c>
      <c r="J18" s="34">
        <v>0.19166344258847173</v>
      </c>
      <c r="K18" s="34">
        <v>0.01927695827047463</v>
      </c>
      <c r="L18" s="34">
        <v>0.03016438903934587</v>
      </c>
      <c r="M18" s="34">
        <v>0.008576480760692038</v>
      </c>
      <c r="N18" s="35">
        <f t="shared" si="0"/>
        <v>1</v>
      </c>
    </row>
    <row r="19" spans="1:14" ht="12.75">
      <c r="A19" s="14" t="s">
        <v>20</v>
      </c>
      <c r="B19" s="34">
        <v>0.00363775068984293</v>
      </c>
      <c r="C19" s="34">
        <v>0.004927657484613809</v>
      </c>
      <c r="D19" s="34">
        <v>0.003687250499123077</v>
      </c>
      <c r="E19" s="34">
        <v>0.5273903797605957</v>
      </c>
      <c r="F19" s="34">
        <v>0.005298420761967064</v>
      </c>
      <c r="G19" s="34">
        <v>0.25250435064500193</v>
      </c>
      <c r="H19" s="34">
        <v>0.006889208750401579</v>
      </c>
      <c r="I19" s="34">
        <v>0.005613860723066038</v>
      </c>
      <c r="J19" s="34">
        <v>0.17839634206115265</v>
      </c>
      <c r="K19" s="34">
        <v>0.004325895097286537</v>
      </c>
      <c r="L19" s="34">
        <v>0.005165450686057651</v>
      </c>
      <c r="M19" s="34">
        <v>0.002163432840891113</v>
      </c>
      <c r="N19" s="35">
        <f t="shared" si="0"/>
        <v>1</v>
      </c>
    </row>
    <row r="20" spans="1:14" ht="14.25" thickBot="1">
      <c r="A20" s="17" t="s">
        <v>26</v>
      </c>
      <c r="B20" s="34">
        <v>0.13880673646822975</v>
      </c>
      <c r="C20" s="34">
        <v>0.0694034363287719</v>
      </c>
      <c r="D20" s="34">
        <v>0.0694034363287719</v>
      </c>
      <c r="E20" s="34">
        <v>0.0694034363287719</v>
      </c>
      <c r="F20" s="34">
        <v>0.0694034363287719</v>
      </c>
      <c r="G20" s="34">
        <v>0.0694034363287719</v>
      </c>
      <c r="H20" s="34">
        <v>0.07102940054911532</v>
      </c>
      <c r="I20" s="34">
        <v>0.06835859191144426</v>
      </c>
      <c r="J20" s="34">
        <v>0.09784398696940644</v>
      </c>
      <c r="K20" s="34">
        <v>0.07065923799355008</v>
      </c>
      <c r="L20" s="34">
        <v>0.11261085810162991</v>
      </c>
      <c r="M20" s="34">
        <v>0.09367400636276475</v>
      </c>
      <c r="N20" s="35">
        <f t="shared" si="0"/>
        <v>1</v>
      </c>
    </row>
    <row r="21" spans="1:14" ht="13.5" thickBot="1">
      <c r="A21" s="19" t="s">
        <v>27</v>
      </c>
      <c r="B21" s="20">
        <f aca="true" t="shared" si="1" ref="B21:N21">SUM(B10:B20)</f>
        <v>0.5435779988098379</v>
      </c>
      <c r="C21" s="20">
        <f t="shared" si="1"/>
        <v>0.4867831619862446</v>
      </c>
      <c r="D21" s="20">
        <f t="shared" si="1"/>
        <v>0.4900415280230671</v>
      </c>
      <c r="E21" s="20">
        <f t="shared" si="1"/>
        <v>1.8752295415250602</v>
      </c>
      <c r="F21" s="20">
        <f t="shared" si="1"/>
        <v>0.5116196250723828</v>
      </c>
      <c r="G21" s="20">
        <f t="shared" si="1"/>
        <v>1.3058770565747297</v>
      </c>
      <c r="H21" s="20">
        <f t="shared" si="1"/>
        <v>0.5136556681798488</v>
      </c>
      <c r="I21" s="20">
        <f t="shared" si="1"/>
        <v>0.492193823500292</v>
      </c>
      <c r="J21" s="20">
        <f t="shared" si="1"/>
        <v>1.9468962744587643</v>
      </c>
      <c r="K21" s="20">
        <f t="shared" si="1"/>
        <v>0.4994244364048805</v>
      </c>
      <c r="L21" s="20">
        <f t="shared" si="1"/>
        <v>0.5900919299778673</v>
      </c>
      <c r="M21" s="20">
        <f t="shared" si="1"/>
        <v>0.7446089554870253</v>
      </c>
      <c r="N21" s="20">
        <f t="shared" si="1"/>
        <v>10</v>
      </c>
    </row>
    <row r="22" spans="1:14" ht="18.75">
      <c r="A22" s="21" t="s">
        <v>28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</row>
    <row r="23" spans="1:14" ht="12.75">
      <c r="A23" s="9" t="s">
        <v>29</v>
      </c>
      <c r="B23" s="36">
        <v>0.13534215476828038</v>
      </c>
      <c r="C23" s="36">
        <v>0.07249069243668506</v>
      </c>
      <c r="D23" s="36">
        <v>0.08032321665512326</v>
      </c>
      <c r="E23" s="36">
        <v>0.07466207029922885</v>
      </c>
      <c r="F23" s="36">
        <v>0.0696538613947729</v>
      </c>
      <c r="G23" s="36">
        <v>0.08405583064362938</v>
      </c>
      <c r="H23" s="36">
        <v>0.07777010909071823</v>
      </c>
      <c r="I23" s="36">
        <v>0.07617970324401611</v>
      </c>
      <c r="J23" s="36">
        <v>0.07600902505103692</v>
      </c>
      <c r="K23" s="36">
        <v>0.07630334652396853</v>
      </c>
      <c r="L23" s="36">
        <v>0.09092070741316659</v>
      </c>
      <c r="M23" s="36">
        <v>0.08628928247937377</v>
      </c>
      <c r="N23" s="37"/>
    </row>
    <row r="24" spans="1:14" ht="12.75">
      <c r="A24" s="12" t="s">
        <v>30</v>
      </c>
      <c r="B24" s="36">
        <v>0.13461860427194086</v>
      </c>
      <c r="C24" s="36">
        <v>0.07284917007786686</v>
      </c>
      <c r="D24" s="36">
        <v>0.07926255837213399</v>
      </c>
      <c r="E24" s="36">
        <v>0.07436966186329018</v>
      </c>
      <c r="F24" s="36">
        <v>0.0699886787779055</v>
      </c>
      <c r="G24" s="36">
        <v>0.08164598992853128</v>
      </c>
      <c r="H24" s="36">
        <v>0.0790515691313405</v>
      </c>
      <c r="I24" s="36">
        <v>0.07626109638473981</v>
      </c>
      <c r="J24" s="36">
        <v>0.07587241561519546</v>
      </c>
      <c r="K24" s="36">
        <v>0.0764798654647956</v>
      </c>
      <c r="L24" s="36">
        <v>0.09080597267595973</v>
      </c>
      <c r="M24" s="36">
        <v>0.08879441743630023</v>
      </c>
      <c r="N24" s="37">
        <f aca="true" t="shared" si="2" ref="N24:N35">SUM(B24:M24)</f>
        <v>0.9999999999999999</v>
      </c>
    </row>
    <row r="25" spans="1:14" ht="12.75">
      <c r="A25" s="12" t="s">
        <v>31</v>
      </c>
      <c r="B25" s="36">
        <v>0.06894719283027746</v>
      </c>
      <c r="C25" s="36">
        <v>0.06854319357478235</v>
      </c>
      <c r="D25" s="36">
        <v>0.06710363016368572</v>
      </c>
      <c r="E25" s="36">
        <v>0.05989892994981616</v>
      </c>
      <c r="F25" s="36">
        <v>0.06471924790959183</v>
      </c>
      <c r="G25" s="36">
        <v>0.18110292077695406</v>
      </c>
      <c r="H25" s="36">
        <v>0.06921184324660319</v>
      </c>
      <c r="I25" s="36">
        <v>0.06799254090387108</v>
      </c>
      <c r="J25" s="36">
        <v>0.07239242431159637</v>
      </c>
      <c r="K25" s="36">
        <v>0.0717300959076814</v>
      </c>
      <c r="L25" s="36">
        <v>0.0891912640077541</v>
      </c>
      <c r="M25" s="36">
        <v>0.1191667164173863</v>
      </c>
      <c r="N25" s="37">
        <f t="shared" si="2"/>
        <v>1</v>
      </c>
    </row>
    <row r="26" spans="1:14" ht="12.75">
      <c r="A26" s="9" t="s">
        <v>32</v>
      </c>
      <c r="B26" s="36">
        <v>0.02042251502176322</v>
      </c>
      <c r="C26" s="36">
        <v>0.019516908864315913</v>
      </c>
      <c r="D26" s="36">
        <v>0.00505925227624192</v>
      </c>
      <c r="E26" s="36">
        <v>0.059788556983201596</v>
      </c>
      <c r="F26" s="36">
        <v>0.01300902401964339</v>
      </c>
      <c r="G26" s="36">
        <v>0.24913950550868252</v>
      </c>
      <c r="H26" s="36">
        <v>0.08171704276585949</v>
      </c>
      <c r="I26" s="36">
        <v>0.0588121212938869</v>
      </c>
      <c r="J26" s="36">
        <v>0.22178075561619162</v>
      </c>
      <c r="K26" s="36">
        <v>0.035168548989583</v>
      </c>
      <c r="L26" s="36">
        <v>0.12819470701026858</v>
      </c>
      <c r="M26" s="36">
        <v>0.10739106165036182</v>
      </c>
      <c r="N26" s="37">
        <f t="shared" si="2"/>
        <v>0.9999999999999999</v>
      </c>
    </row>
    <row r="27" spans="1:14" ht="12.75">
      <c r="A27" s="14" t="s">
        <v>19</v>
      </c>
      <c r="B27" s="36">
        <v>0.026070222577248465</v>
      </c>
      <c r="C27" s="36">
        <v>0.05627972840492357</v>
      </c>
      <c r="D27" s="36">
        <v>0.04422497367561091</v>
      </c>
      <c r="E27" s="36">
        <v>0.14140735630514506</v>
      </c>
      <c r="F27" s="36">
        <v>0.05900294106967793</v>
      </c>
      <c r="G27" s="36">
        <v>0.2209433208670709</v>
      </c>
      <c r="H27" s="36">
        <v>0.07443447950328601</v>
      </c>
      <c r="I27" s="36">
        <v>0.09258923060164845</v>
      </c>
      <c r="J27" s="36">
        <v>0.11145201699284703</v>
      </c>
      <c r="K27" s="36">
        <v>0.026070222577248465</v>
      </c>
      <c r="L27" s="36">
        <v>0.10322791474528885</v>
      </c>
      <c r="M27" s="36">
        <v>0.044297592680004355</v>
      </c>
      <c r="N27" s="37">
        <f t="shared" si="2"/>
        <v>0.9999999999999999</v>
      </c>
    </row>
    <row r="28" spans="1:14" ht="12.75">
      <c r="A28" s="14" t="s">
        <v>20</v>
      </c>
      <c r="B28" s="36">
        <v>0.019844169171821056</v>
      </c>
      <c r="C28" s="36">
        <v>0.015752262075401893</v>
      </c>
      <c r="D28" s="36">
        <v>0.0010485395740029114</v>
      </c>
      <c r="E28" s="36">
        <v>0.05143049428229883</v>
      </c>
      <c r="F28" s="36">
        <v>0.008299079181469852</v>
      </c>
      <c r="G28" s="36">
        <v>0.252026897642831</v>
      </c>
      <c r="H28" s="36">
        <v>0.08246280380225733</v>
      </c>
      <c r="I28" s="36">
        <v>0.05535322212121043</v>
      </c>
      <c r="J28" s="36">
        <v>0.23307882080198405</v>
      </c>
      <c r="K28" s="36">
        <v>0.036100250794305906</v>
      </c>
      <c r="L28" s="36">
        <v>0.13075139758798715</v>
      </c>
      <c r="M28" s="36">
        <v>0.1138520629644296</v>
      </c>
      <c r="N28" s="37">
        <f t="shared" si="2"/>
        <v>1</v>
      </c>
    </row>
    <row r="29" spans="1:14" ht="12.75">
      <c r="A29" s="12" t="s">
        <v>33</v>
      </c>
      <c r="B29" s="36">
        <v>0.09319934611025865</v>
      </c>
      <c r="C29" s="36">
        <v>0.08512601418098305</v>
      </c>
      <c r="D29" s="36">
        <v>0.08469978237105234</v>
      </c>
      <c r="E29" s="36">
        <v>0.08415821724784628</v>
      </c>
      <c r="F29" s="36">
        <v>0.0948591429230476</v>
      </c>
      <c r="G29" s="36">
        <v>0.0961378383528397</v>
      </c>
      <c r="H29" s="36">
        <v>0.07815085597376417</v>
      </c>
      <c r="I29" s="36">
        <v>0.07714294310557511</v>
      </c>
      <c r="J29" s="36">
        <v>0.09204099848562346</v>
      </c>
      <c r="K29" s="36">
        <v>0.08137015976171134</v>
      </c>
      <c r="L29" s="36">
        <v>0.08136514526982981</v>
      </c>
      <c r="M29" s="36">
        <v>0.05174955621746848</v>
      </c>
      <c r="N29" s="37">
        <f t="shared" si="2"/>
        <v>1</v>
      </c>
    </row>
    <row r="30" spans="1:14" ht="12.75">
      <c r="A30" s="12" t="s">
        <v>34</v>
      </c>
      <c r="B30" s="36">
        <v>-0.057173510625879005</v>
      </c>
      <c r="C30" s="36">
        <v>-0.029156544796571256</v>
      </c>
      <c r="D30" s="36">
        <v>0.004569433712637097</v>
      </c>
      <c r="E30" s="36">
        <v>0.03966846590435319</v>
      </c>
      <c r="F30" s="36">
        <v>0.027544457477027755</v>
      </c>
      <c r="G30" s="36">
        <v>0.30885369473736873</v>
      </c>
      <c r="H30" s="36">
        <v>0.03263642983806861</v>
      </c>
      <c r="I30" s="36">
        <v>0.05277084456698779</v>
      </c>
      <c r="J30" s="36">
        <v>0.033509180559338714</v>
      </c>
      <c r="K30" s="36">
        <v>0.041691913436469864</v>
      </c>
      <c r="L30" s="36">
        <v>0.2841720819829786</v>
      </c>
      <c r="M30" s="36">
        <v>0.26091355320721993</v>
      </c>
      <c r="N30" s="37">
        <f t="shared" si="2"/>
        <v>1</v>
      </c>
    </row>
    <row r="31" spans="1:14" ht="12.75">
      <c r="A31" s="12" t="s">
        <v>35</v>
      </c>
      <c r="B31" s="36">
        <v>-0.06936857219014476</v>
      </c>
      <c r="C31" s="36">
        <v>0.05798121065528855</v>
      </c>
      <c r="D31" s="36">
        <v>0.06962967293539664</v>
      </c>
      <c r="E31" s="36">
        <v>0.10652068145808169</v>
      </c>
      <c r="F31" s="36">
        <v>0.10257295709723352</v>
      </c>
      <c r="G31" s="36">
        <v>0.23086508077277892</v>
      </c>
      <c r="H31" s="36">
        <v>0.10957362793292436</v>
      </c>
      <c r="I31" s="36">
        <v>0.06155834040997276</v>
      </c>
      <c r="J31" s="36">
        <v>0.11339005875014492</v>
      </c>
      <c r="K31" s="36">
        <v>0.05290683905591519</v>
      </c>
      <c r="L31" s="36">
        <v>0.07253299431523728</v>
      </c>
      <c r="M31" s="36">
        <v>0.0918371088071709</v>
      </c>
      <c r="N31" s="37">
        <f t="shared" si="2"/>
        <v>1</v>
      </c>
    </row>
    <row r="32" spans="1:14" ht="12.75">
      <c r="A32" s="9" t="s">
        <v>36</v>
      </c>
      <c r="B32" s="36">
        <v>0</v>
      </c>
      <c r="C32" s="36">
        <v>0</v>
      </c>
      <c r="D32" s="36">
        <v>0.30961041237565184</v>
      </c>
      <c r="E32" s="36">
        <v>0</v>
      </c>
      <c r="F32" s="36">
        <v>0</v>
      </c>
      <c r="G32" s="36">
        <v>0.33340637188307987</v>
      </c>
      <c r="H32" s="36">
        <v>0</v>
      </c>
      <c r="I32" s="36">
        <v>0</v>
      </c>
      <c r="J32" s="36">
        <v>0.26819755466935447</v>
      </c>
      <c r="K32" s="36">
        <v>0</v>
      </c>
      <c r="L32" s="36">
        <v>0</v>
      </c>
      <c r="M32" s="36">
        <v>0.08878566107191375</v>
      </c>
      <c r="N32" s="37">
        <f t="shared" si="2"/>
        <v>1</v>
      </c>
    </row>
    <row r="33" spans="1:14" ht="12.75">
      <c r="A33" s="9" t="s">
        <v>39</v>
      </c>
      <c r="B33" s="36">
        <v>0</v>
      </c>
      <c r="C33" s="36">
        <v>0</v>
      </c>
      <c r="D33" s="36">
        <v>0.01923441883844627</v>
      </c>
      <c r="E33" s="36">
        <v>0.22908449295507352</v>
      </c>
      <c r="F33" s="36">
        <v>0</v>
      </c>
      <c r="G33" s="36">
        <v>0.3628893687520196</v>
      </c>
      <c r="H33" s="36">
        <v>0</v>
      </c>
      <c r="I33" s="36">
        <v>0</v>
      </c>
      <c r="J33" s="36">
        <v>0.38032857516554425</v>
      </c>
      <c r="K33" s="36">
        <v>0</v>
      </c>
      <c r="L33" s="36">
        <v>0.0046162605212271045</v>
      </c>
      <c r="M33" s="36">
        <v>0.003846883767689254</v>
      </c>
      <c r="N33" s="37">
        <f t="shared" si="2"/>
        <v>1</v>
      </c>
    </row>
    <row r="34" spans="1:14" ht="13.5" thickBot="1">
      <c r="A34" s="12" t="s">
        <v>37</v>
      </c>
      <c r="B34" s="36">
        <v>-0.000720817046121779</v>
      </c>
      <c r="C34" s="36">
        <v>0.01929236789901353</v>
      </c>
      <c r="D34" s="36">
        <v>0.03265751729585485</v>
      </c>
      <c r="E34" s="36">
        <v>0.29933279372168353</v>
      </c>
      <c r="F34" s="36">
        <v>0.03611593741505997</v>
      </c>
      <c r="G34" s="36">
        <v>0.33003058967339477</v>
      </c>
      <c r="H34" s="36">
        <v>0.03550324292585646</v>
      </c>
      <c r="I34" s="36">
        <v>0.03650337657735043</v>
      </c>
      <c r="J34" s="36">
        <v>0.01034372461184753</v>
      </c>
      <c r="K34" s="36">
        <v>0.03926050177876623</v>
      </c>
      <c r="L34" s="36">
        <v>0.00974754884661764</v>
      </c>
      <c r="M34" s="36">
        <v>0.15193321630067683</v>
      </c>
      <c r="N34" s="37">
        <f t="shared" si="2"/>
        <v>1.0000000000000002</v>
      </c>
    </row>
    <row r="35" spans="1:14" ht="13.5" thickBot="1">
      <c r="A35" s="19" t="s">
        <v>38</v>
      </c>
      <c r="B35" s="25">
        <f aca="true" t="shared" si="3" ref="B35:M35">SUM(B23:B34)-B27-B28</f>
        <v>0.32526691314037504</v>
      </c>
      <c r="C35" s="25">
        <f t="shared" si="3"/>
        <v>0.36664301289236406</v>
      </c>
      <c r="D35" s="25">
        <f t="shared" si="3"/>
        <v>0.7521498949962239</v>
      </c>
      <c r="E35" s="38">
        <f t="shared" si="3"/>
        <v>1.0274838703825753</v>
      </c>
      <c r="F35" s="38">
        <f t="shared" si="3"/>
        <v>0.47846330701428236</v>
      </c>
      <c r="G35" s="38">
        <f t="shared" si="3"/>
        <v>2.258127191029279</v>
      </c>
      <c r="H35" s="38">
        <f t="shared" si="3"/>
        <v>0.5636147209051351</v>
      </c>
      <c r="I35" s="38">
        <f t="shared" si="3"/>
        <v>0.5072209664864</v>
      </c>
      <c r="J35" s="38">
        <f t="shared" si="3"/>
        <v>1.3438647128358738</v>
      </c>
      <c r="K35" s="38">
        <f t="shared" si="3"/>
        <v>0.4749112709188912</v>
      </c>
      <c r="L35" s="38">
        <f t="shared" si="3"/>
        <v>0.8515466820430396</v>
      </c>
      <c r="M35" s="38">
        <f t="shared" si="3"/>
        <v>1.0507074573555613</v>
      </c>
      <c r="N35" s="39">
        <f t="shared" si="2"/>
        <v>10</v>
      </c>
    </row>
  </sheetData>
  <mergeCells count="2">
    <mergeCell ref="A1:N1"/>
    <mergeCell ref="M2:N2"/>
  </mergeCells>
  <printOptions horizontalCentered="1" verticalCentered="1"/>
  <pageMargins left="0.3937007874015748" right="0.3937007874015748" top="0.7086614173228347" bottom="0.5905511811023623" header="0.4330708661417323" footer="0.31496062992125984"/>
  <pageSetup firstPageNumber="15" useFirstPageNumber="1" horizontalDpi="600" verticalDpi="600" orientation="landscape" paperSize="9" scale="86" r:id="rId1"/>
  <headerFooter alignWithMargins="0">
    <oddHeader>&amp;R&amp;"Times New Roman CE,Normál"A költségvetési rendelet-tervezet 9.sz. melléklete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69"/>
  <sheetViews>
    <sheetView view="pageBreakPreview" zoomScaleSheetLayoutView="100" workbookViewId="0" topLeftCell="A1">
      <pane xSplit="1" ySplit="4" topLeftCell="D2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55" sqref="M55:N55"/>
    </sheetView>
  </sheetViews>
  <sheetFormatPr defaultColWidth="9.00390625" defaultRowHeight="12.75"/>
  <cols>
    <col min="1" max="1" width="26.875" style="0" customWidth="1"/>
    <col min="2" max="2" width="13.875" style="0" bestFit="1" customWidth="1"/>
    <col min="3" max="4" width="13.125" style="0" bestFit="1" customWidth="1"/>
    <col min="5" max="13" width="13.25390625" style="0" bestFit="1" customWidth="1"/>
    <col min="14" max="14" width="15.75390625" style="0" bestFit="1" customWidth="1"/>
    <col min="15" max="15" width="12.625" style="0" customWidth="1"/>
    <col min="16" max="16" width="11.75390625" style="0" bestFit="1" customWidth="1"/>
    <col min="17" max="17" width="12.00390625" style="0" customWidth="1"/>
    <col min="18" max="18" width="9.25390625" style="0" bestFit="1" customWidth="1"/>
  </cols>
  <sheetData>
    <row r="1" spans="1:15" ht="18.75">
      <c r="A1" s="71" t="s">
        <v>41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1"/>
    </row>
    <row r="2" spans="1:15" ht="16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73" t="s">
        <v>0</v>
      </c>
      <c r="N2" s="73"/>
      <c r="O2" s="1"/>
    </row>
    <row r="3" spans="1:15" ht="16.5" thickBot="1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5" t="s">
        <v>14</v>
      </c>
      <c r="O3" s="1"/>
    </row>
    <row r="4" spans="1:15" ht="18.75">
      <c r="A4" s="6" t="s">
        <v>15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1"/>
    </row>
    <row r="5" spans="1:17" ht="15.75">
      <c r="A5" s="9" t="s">
        <v>16</v>
      </c>
      <c r="B5" s="10">
        <v>235139</v>
      </c>
      <c r="C5" s="10">
        <v>240150</v>
      </c>
      <c r="D5" s="10">
        <v>239754</v>
      </c>
      <c r="E5" s="10">
        <v>213681</v>
      </c>
      <c r="F5" s="10">
        <v>211565</v>
      </c>
      <c r="G5" s="10">
        <v>285914</v>
      </c>
      <c r="H5" s="10">
        <v>205662</v>
      </c>
      <c r="I5" s="10">
        <v>214184</v>
      </c>
      <c r="J5" s="10">
        <v>237570</v>
      </c>
      <c r="K5" s="10">
        <v>217470</v>
      </c>
      <c r="L5" s="10">
        <v>231579</v>
      </c>
      <c r="M5" s="10">
        <v>136516</v>
      </c>
      <c r="N5" s="11">
        <v>2669184</v>
      </c>
      <c r="O5" s="28"/>
      <c r="P5" s="29"/>
      <c r="Q5" s="29"/>
    </row>
    <row r="6" spans="1:17" ht="15.75">
      <c r="A6" s="12" t="s">
        <v>17</v>
      </c>
      <c r="B6" s="10">
        <v>24053</v>
      </c>
      <c r="C6" s="10">
        <v>24057</v>
      </c>
      <c r="D6" s="10">
        <v>24051</v>
      </c>
      <c r="E6" s="10">
        <v>23999</v>
      </c>
      <c r="F6" s="10">
        <v>24063</v>
      </c>
      <c r="G6" s="10">
        <v>46142</v>
      </c>
      <c r="H6" s="10">
        <v>24068</v>
      </c>
      <c r="I6" s="10">
        <v>24058</v>
      </c>
      <c r="J6" s="10">
        <v>24176</v>
      </c>
      <c r="K6" s="10">
        <v>25062</v>
      </c>
      <c r="L6" s="10">
        <v>83606</v>
      </c>
      <c r="M6" s="10">
        <v>24498</v>
      </c>
      <c r="N6" s="11">
        <v>371833</v>
      </c>
      <c r="O6" s="28"/>
      <c r="P6" s="29"/>
      <c r="Q6" s="29"/>
    </row>
    <row r="7" spans="1:17" ht="15.75">
      <c r="A7" s="12" t="s">
        <v>18</v>
      </c>
      <c r="B7" s="13">
        <v>1019219</v>
      </c>
      <c r="C7" s="13">
        <v>509610</v>
      </c>
      <c r="D7" s="13">
        <v>509610</v>
      </c>
      <c r="E7" s="13">
        <v>509610</v>
      </c>
      <c r="F7" s="13">
        <v>509610</v>
      </c>
      <c r="G7" s="13">
        <v>509610</v>
      </c>
      <c r="H7" s="13">
        <v>521549</v>
      </c>
      <c r="I7" s="13">
        <v>501938</v>
      </c>
      <c r="J7" s="13">
        <v>718441</v>
      </c>
      <c r="K7" s="13">
        <v>518831</v>
      </c>
      <c r="L7" s="13">
        <v>826870</v>
      </c>
      <c r="M7" s="13">
        <v>687822</v>
      </c>
      <c r="N7" s="31">
        <v>7342720</v>
      </c>
      <c r="O7" s="28"/>
      <c r="P7" s="29"/>
      <c r="Q7" s="29"/>
    </row>
    <row r="8" spans="1:17" ht="15.75">
      <c r="A8" s="14" t="s">
        <v>19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10000</v>
      </c>
      <c r="I8" s="15">
        <v>9900</v>
      </c>
      <c r="J8" s="15">
        <v>-1991</v>
      </c>
      <c r="K8" s="15">
        <v>23900</v>
      </c>
      <c r="L8" s="15">
        <v>75990</v>
      </c>
      <c r="M8" s="15">
        <v>36090</v>
      </c>
      <c r="N8" s="16">
        <v>153889</v>
      </c>
      <c r="O8" s="28"/>
      <c r="P8" s="29"/>
      <c r="Q8" s="29"/>
    </row>
    <row r="9" spans="1:17" ht="15.75">
      <c r="A9" s="14" t="s">
        <v>20</v>
      </c>
      <c r="B9" s="15">
        <v>1019219</v>
      </c>
      <c r="C9" s="15">
        <v>509610</v>
      </c>
      <c r="D9" s="15">
        <v>509610</v>
      </c>
      <c r="E9" s="15">
        <v>509610</v>
      </c>
      <c r="F9" s="15">
        <v>509610</v>
      </c>
      <c r="G9" s="15">
        <v>509610</v>
      </c>
      <c r="H9" s="15">
        <v>511549</v>
      </c>
      <c r="I9" s="15">
        <v>492038</v>
      </c>
      <c r="J9" s="15">
        <v>720432</v>
      </c>
      <c r="K9" s="15">
        <v>494931</v>
      </c>
      <c r="L9" s="15">
        <v>750880</v>
      </c>
      <c r="M9" s="15">
        <v>651732</v>
      </c>
      <c r="N9" s="16">
        <v>7188831</v>
      </c>
      <c r="O9" s="28"/>
      <c r="P9" s="29"/>
      <c r="Q9" s="29"/>
    </row>
    <row r="10" spans="1:17" ht="15.75">
      <c r="A10" s="12" t="s">
        <v>21</v>
      </c>
      <c r="B10" s="13">
        <v>672357</v>
      </c>
      <c r="C10" s="13">
        <v>338720</v>
      </c>
      <c r="D10" s="13">
        <v>337357</v>
      </c>
      <c r="E10" s="13">
        <v>336129</v>
      </c>
      <c r="F10" s="13">
        <v>328046</v>
      </c>
      <c r="G10" s="13">
        <v>391482</v>
      </c>
      <c r="H10" s="13">
        <v>348693</v>
      </c>
      <c r="I10" s="13">
        <v>343826</v>
      </c>
      <c r="J10" s="13">
        <v>660610</v>
      </c>
      <c r="K10" s="13">
        <v>343693</v>
      </c>
      <c r="L10" s="13">
        <v>500479</v>
      </c>
      <c r="M10" s="13">
        <v>603306</v>
      </c>
      <c r="N10" s="11">
        <v>5204698</v>
      </c>
      <c r="O10" s="28"/>
      <c r="P10" s="29"/>
      <c r="Q10" s="29"/>
    </row>
    <row r="11" spans="1:17" ht="15.75">
      <c r="A11" s="12" t="s">
        <v>22</v>
      </c>
      <c r="B11" s="13">
        <v>665628</v>
      </c>
      <c r="C11" s="13">
        <v>730885</v>
      </c>
      <c r="D11" s="13">
        <v>731984</v>
      </c>
      <c r="E11" s="13">
        <v>1116685</v>
      </c>
      <c r="F11" s="13">
        <v>741755</v>
      </c>
      <c r="G11" s="13">
        <v>1325593</v>
      </c>
      <c r="H11" s="13">
        <v>869871</v>
      </c>
      <c r="I11" s="13">
        <v>823036</v>
      </c>
      <c r="J11" s="13">
        <v>880033</v>
      </c>
      <c r="K11" s="13">
        <v>827122</v>
      </c>
      <c r="L11" s="13">
        <v>874837</v>
      </c>
      <c r="M11" s="13">
        <v>1339830</v>
      </c>
      <c r="N11" s="32">
        <v>10927259</v>
      </c>
      <c r="O11" s="28"/>
      <c r="P11" s="29"/>
      <c r="Q11" s="29"/>
    </row>
    <row r="12" spans="1:17" ht="15.75">
      <c r="A12" s="14" t="s">
        <v>19</v>
      </c>
      <c r="B12" s="15">
        <v>9108</v>
      </c>
      <c r="C12" s="15">
        <v>77434</v>
      </c>
      <c r="D12" s="15">
        <v>74680</v>
      </c>
      <c r="E12" s="15">
        <v>101424</v>
      </c>
      <c r="F12" s="15">
        <v>85881</v>
      </c>
      <c r="G12" s="15">
        <v>85621</v>
      </c>
      <c r="H12" s="15">
        <v>58505</v>
      </c>
      <c r="I12" s="15">
        <v>45240</v>
      </c>
      <c r="J12" s="15">
        <v>83653</v>
      </c>
      <c r="K12" s="15">
        <v>76878</v>
      </c>
      <c r="L12" s="15">
        <v>71228</v>
      </c>
      <c r="M12" s="15">
        <v>173290</v>
      </c>
      <c r="N12" s="16">
        <v>942942</v>
      </c>
      <c r="O12" s="28"/>
      <c r="P12" s="29"/>
      <c r="Q12" s="29"/>
    </row>
    <row r="13" spans="1:17" ht="15.75">
      <c r="A13" s="14" t="s">
        <v>20</v>
      </c>
      <c r="B13" s="15">
        <v>656520</v>
      </c>
      <c r="C13" s="15">
        <v>653451</v>
      </c>
      <c r="D13" s="15">
        <v>657304</v>
      </c>
      <c r="E13" s="15">
        <v>1015261</v>
      </c>
      <c r="F13" s="15">
        <v>655874</v>
      </c>
      <c r="G13" s="15">
        <v>1239972</v>
      </c>
      <c r="H13" s="15">
        <v>811366</v>
      </c>
      <c r="I13" s="15">
        <v>777796</v>
      </c>
      <c r="J13" s="15">
        <v>796380</v>
      </c>
      <c r="K13" s="15">
        <v>750244</v>
      </c>
      <c r="L13" s="15">
        <v>803609</v>
      </c>
      <c r="M13" s="15">
        <v>1166540</v>
      </c>
      <c r="N13" s="16">
        <v>9984317</v>
      </c>
      <c r="O13" s="28"/>
      <c r="P13" s="29"/>
      <c r="Q13" s="29"/>
    </row>
    <row r="14" spans="1:17" ht="15.75">
      <c r="A14" s="12" t="s">
        <v>23</v>
      </c>
      <c r="B14" s="13">
        <v>296193</v>
      </c>
      <c r="C14" s="13">
        <v>296079</v>
      </c>
      <c r="D14" s="13">
        <v>293551</v>
      </c>
      <c r="E14" s="13">
        <v>296836</v>
      </c>
      <c r="F14" s="13">
        <v>298349</v>
      </c>
      <c r="G14" s="13">
        <v>292057</v>
      </c>
      <c r="H14" s="13">
        <v>296578</v>
      </c>
      <c r="I14" s="13">
        <v>298066</v>
      </c>
      <c r="J14" s="13">
        <v>301062</v>
      </c>
      <c r="K14" s="13">
        <v>296603</v>
      </c>
      <c r="L14" s="13">
        <v>295082</v>
      </c>
      <c r="M14" s="13">
        <v>292257</v>
      </c>
      <c r="N14" s="11">
        <v>3552713</v>
      </c>
      <c r="O14" s="28"/>
      <c r="P14" s="29"/>
      <c r="Q14" s="29"/>
    </row>
    <row r="15" spans="1:17" ht="15.75">
      <c r="A15" s="12" t="s">
        <v>24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1">
        <v>0</v>
      </c>
      <c r="O15" s="28"/>
      <c r="P15" s="29"/>
      <c r="Q15" s="29"/>
    </row>
    <row r="16" spans="1:17" ht="15.75">
      <c r="A16" s="12" t="s">
        <v>40</v>
      </c>
      <c r="B16" s="13">
        <v>2500</v>
      </c>
      <c r="C16" s="13">
        <v>2500</v>
      </c>
      <c r="D16" s="13">
        <v>2500</v>
      </c>
      <c r="E16" s="13">
        <v>2500</v>
      </c>
      <c r="F16" s="13">
        <v>2500</v>
      </c>
      <c r="G16" s="13">
        <v>2500</v>
      </c>
      <c r="H16" s="13">
        <v>2500</v>
      </c>
      <c r="I16" s="13">
        <v>2500</v>
      </c>
      <c r="J16" s="13">
        <v>140496</v>
      </c>
      <c r="K16" s="13">
        <v>2500</v>
      </c>
      <c r="L16" s="13">
        <v>2500</v>
      </c>
      <c r="M16" s="13">
        <v>2500</v>
      </c>
      <c r="N16" s="11">
        <v>167996</v>
      </c>
      <c r="O16" s="28"/>
      <c r="P16" s="29"/>
      <c r="Q16" s="29"/>
    </row>
    <row r="17" spans="1:17" ht="15.75">
      <c r="A17" s="12" t="s">
        <v>25</v>
      </c>
      <c r="B17" s="13">
        <v>14260</v>
      </c>
      <c r="C17" s="13">
        <v>14496</v>
      </c>
      <c r="D17" s="13">
        <v>15885</v>
      </c>
      <c r="E17" s="13">
        <v>670555</v>
      </c>
      <c r="F17" s="13">
        <v>19544</v>
      </c>
      <c r="G17" s="13">
        <v>348426</v>
      </c>
      <c r="H17" s="13">
        <v>19950</v>
      </c>
      <c r="I17" s="13">
        <v>20345</v>
      </c>
      <c r="J17" s="13">
        <v>257617</v>
      </c>
      <c r="K17" s="13">
        <v>11881</v>
      </c>
      <c r="L17" s="13">
        <v>16939</v>
      </c>
      <c r="M17" s="13">
        <v>5532</v>
      </c>
      <c r="N17" s="11">
        <v>1415430</v>
      </c>
      <c r="O17" s="28"/>
      <c r="P17" s="29"/>
      <c r="Q17" s="29"/>
    </row>
    <row r="18" spans="1:17" ht="15.75">
      <c r="A18" s="14" t="s">
        <v>19</v>
      </c>
      <c r="B18" s="15">
        <v>10512</v>
      </c>
      <c r="C18" s="15">
        <v>9419</v>
      </c>
      <c r="D18" s="15">
        <v>12086</v>
      </c>
      <c r="E18" s="15">
        <v>127181</v>
      </c>
      <c r="F18" s="15">
        <v>14085</v>
      </c>
      <c r="G18" s="15">
        <v>88269</v>
      </c>
      <c r="H18" s="15">
        <v>12852</v>
      </c>
      <c r="I18" s="15">
        <v>14561</v>
      </c>
      <c r="J18" s="15">
        <v>73814</v>
      </c>
      <c r="K18" s="15">
        <v>7424</v>
      </c>
      <c r="L18" s="15">
        <v>11617</v>
      </c>
      <c r="M18" s="15">
        <v>3303</v>
      </c>
      <c r="N18" s="16">
        <v>385123</v>
      </c>
      <c r="O18" s="28"/>
      <c r="P18" s="29"/>
      <c r="Q18" s="29"/>
    </row>
    <row r="19" spans="1:17" ht="15.75">
      <c r="A19" s="14" t="s">
        <v>20</v>
      </c>
      <c r="B19" s="15">
        <v>3748</v>
      </c>
      <c r="C19" s="15">
        <v>5077</v>
      </c>
      <c r="D19" s="15">
        <v>3799</v>
      </c>
      <c r="E19" s="15">
        <v>543374</v>
      </c>
      <c r="F19" s="15">
        <v>5459</v>
      </c>
      <c r="G19" s="15">
        <v>260157</v>
      </c>
      <c r="H19" s="15">
        <v>7098</v>
      </c>
      <c r="I19" s="15">
        <v>5784</v>
      </c>
      <c r="J19" s="15">
        <v>183803</v>
      </c>
      <c r="K19" s="15">
        <v>4457</v>
      </c>
      <c r="L19" s="15">
        <v>5322</v>
      </c>
      <c r="M19" s="15">
        <v>2229</v>
      </c>
      <c r="N19" s="16">
        <v>1030307</v>
      </c>
      <c r="O19" s="28"/>
      <c r="P19" s="29"/>
      <c r="Q19" s="29"/>
    </row>
    <row r="20" spans="1:17" ht="16.5" thickBot="1">
      <c r="A20" s="17" t="s">
        <v>26</v>
      </c>
      <c r="B20" s="18">
        <v>-1019219</v>
      </c>
      <c r="C20" s="18">
        <v>-509610</v>
      </c>
      <c r="D20" s="18">
        <v>-509610</v>
      </c>
      <c r="E20" s="18">
        <v>-509610</v>
      </c>
      <c r="F20" s="18">
        <v>-509610</v>
      </c>
      <c r="G20" s="18">
        <v>-509610</v>
      </c>
      <c r="H20" s="18">
        <v>-521549</v>
      </c>
      <c r="I20" s="18">
        <v>-501938</v>
      </c>
      <c r="J20" s="18">
        <v>-718441</v>
      </c>
      <c r="K20" s="18">
        <v>-518831</v>
      </c>
      <c r="L20" s="18">
        <v>-826870</v>
      </c>
      <c r="M20" s="18">
        <v>-687822</v>
      </c>
      <c r="N20" s="11">
        <v>-7342720</v>
      </c>
      <c r="O20" s="28"/>
      <c r="P20" s="29"/>
      <c r="Q20" s="29"/>
    </row>
    <row r="21" spans="1:17" ht="16.5" thickBot="1">
      <c r="A21" s="19" t="s">
        <v>27</v>
      </c>
      <c r="B21" s="20">
        <v>1910130</v>
      </c>
      <c r="C21" s="20">
        <v>1646887</v>
      </c>
      <c r="D21" s="20">
        <v>1645082</v>
      </c>
      <c r="E21" s="20">
        <v>2660385</v>
      </c>
      <c r="F21" s="20">
        <v>1625822</v>
      </c>
      <c r="G21" s="20">
        <v>2692114</v>
      </c>
      <c r="H21" s="20">
        <v>1767322</v>
      </c>
      <c r="I21" s="20">
        <v>1726015</v>
      </c>
      <c r="J21" s="20">
        <v>2501564</v>
      </c>
      <c r="K21" s="20">
        <v>1724331</v>
      </c>
      <c r="L21" s="20">
        <v>2005022</v>
      </c>
      <c r="M21" s="20">
        <v>2404439</v>
      </c>
      <c r="N21" s="26">
        <v>24309113</v>
      </c>
      <c r="O21" s="28"/>
      <c r="P21" s="33"/>
      <c r="Q21" s="29"/>
    </row>
    <row r="22" spans="1:17" ht="18.75">
      <c r="A22" s="21" t="s">
        <v>28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8"/>
      <c r="P22" s="29"/>
      <c r="Q22" s="29"/>
    </row>
    <row r="23" spans="1:17" ht="15.75">
      <c r="A23" s="9" t="s">
        <v>29</v>
      </c>
      <c r="B23" s="24">
        <v>1340907</v>
      </c>
      <c r="C23" s="24">
        <v>718204</v>
      </c>
      <c r="D23" s="24">
        <v>795805</v>
      </c>
      <c r="E23" s="24">
        <v>739717</v>
      </c>
      <c r="F23" s="24">
        <v>690098</v>
      </c>
      <c r="G23" s="24">
        <v>832786</v>
      </c>
      <c r="H23" s="24">
        <v>770510</v>
      </c>
      <c r="I23" s="24">
        <v>754753</v>
      </c>
      <c r="J23" s="24">
        <v>753062</v>
      </c>
      <c r="K23" s="24">
        <v>755978</v>
      </c>
      <c r="L23" s="24">
        <v>900800</v>
      </c>
      <c r="M23" s="24">
        <v>854914</v>
      </c>
      <c r="N23" s="11">
        <v>9907534</v>
      </c>
      <c r="O23" s="28"/>
      <c r="P23" s="29"/>
      <c r="Q23" s="29"/>
    </row>
    <row r="24" spans="1:17" ht="15.75">
      <c r="A24" s="12" t="s">
        <v>30</v>
      </c>
      <c r="B24" s="24">
        <v>432588</v>
      </c>
      <c r="C24" s="24">
        <v>234096</v>
      </c>
      <c r="D24" s="24">
        <v>254705</v>
      </c>
      <c r="E24" s="24">
        <v>238982</v>
      </c>
      <c r="F24" s="24">
        <v>224904</v>
      </c>
      <c r="G24" s="24">
        <v>262364</v>
      </c>
      <c r="H24" s="24">
        <v>254027</v>
      </c>
      <c r="I24" s="24">
        <v>245060</v>
      </c>
      <c r="J24" s="24">
        <v>243811</v>
      </c>
      <c r="K24" s="24">
        <v>245763</v>
      </c>
      <c r="L24" s="24">
        <v>291799</v>
      </c>
      <c r="M24" s="24">
        <v>285335</v>
      </c>
      <c r="N24" s="11">
        <v>3213434</v>
      </c>
      <c r="O24" s="28"/>
      <c r="P24" s="29"/>
      <c r="Q24" s="29"/>
    </row>
    <row r="25" spans="1:17" ht="15.75">
      <c r="A25" s="12" t="s">
        <v>31</v>
      </c>
      <c r="B25" s="24">
        <v>490823</v>
      </c>
      <c r="C25" s="24">
        <v>487947</v>
      </c>
      <c r="D25" s="24">
        <v>477699</v>
      </c>
      <c r="E25" s="24">
        <v>426410</v>
      </c>
      <c r="F25" s="24">
        <v>460725</v>
      </c>
      <c r="G25" s="24">
        <v>1289240</v>
      </c>
      <c r="H25" s="24">
        <v>492707</v>
      </c>
      <c r="I25" s="24">
        <v>484027</v>
      </c>
      <c r="J25" s="24">
        <v>515349</v>
      </c>
      <c r="K25" s="24">
        <v>510634</v>
      </c>
      <c r="L25" s="24">
        <v>634937</v>
      </c>
      <c r="M25" s="24">
        <v>848327</v>
      </c>
      <c r="N25" s="11">
        <v>7118825</v>
      </c>
      <c r="O25" s="28"/>
      <c r="P25" s="29"/>
      <c r="Q25" s="29"/>
    </row>
    <row r="26" spans="1:17" ht="15.75">
      <c r="A26" s="9" t="s">
        <v>32</v>
      </c>
      <c r="B26" s="13">
        <v>12110</v>
      </c>
      <c r="C26" s="13">
        <v>11573</v>
      </c>
      <c r="D26" s="13">
        <v>3000</v>
      </c>
      <c r="E26" s="13">
        <v>35453</v>
      </c>
      <c r="F26" s="13">
        <v>7714</v>
      </c>
      <c r="G26" s="13">
        <v>147733</v>
      </c>
      <c r="H26" s="13">
        <v>48456</v>
      </c>
      <c r="I26" s="13">
        <v>34874</v>
      </c>
      <c r="J26" s="13">
        <v>131510</v>
      </c>
      <c r="K26" s="13">
        <v>20854</v>
      </c>
      <c r="L26" s="13">
        <v>76016</v>
      </c>
      <c r="M26" s="13">
        <v>63680</v>
      </c>
      <c r="N26" s="11">
        <v>592973</v>
      </c>
      <c r="O26" s="28"/>
      <c r="P26" s="29"/>
      <c r="Q26" s="29"/>
    </row>
    <row r="27" spans="1:17" ht="15.75">
      <c r="A27" s="14" t="s">
        <v>19</v>
      </c>
      <c r="B27" s="15">
        <v>1436</v>
      </c>
      <c r="C27" s="15">
        <v>3100</v>
      </c>
      <c r="D27" s="15">
        <v>2436</v>
      </c>
      <c r="E27" s="15">
        <v>7789</v>
      </c>
      <c r="F27" s="15">
        <v>3250</v>
      </c>
      <c r="G27" s="15">
        <v>12170</v>
      </c>
      <c r="H27" s="15">
        <v>4100</v>
      </c>
      <c r="I27" s="15">
        <v>5100</v>
      </c>
      <c r="J27" s="15">
        <v>6139</v>
      </c>
      <c r="K27" s="15">
        <v>1436</v>
      </c>
      <c r="L27" s="15">
        <v>5686</v>
      </c>
      <c r="M27" s="15">
        <v>2440</v>
      </c>
      <c r="N27" s="16">
        <v>55082</v>
      </c>
      <c r="O27" s="28"/>
      <c r="P27" s="29"/>
      <c r="Q27" s="29"/>
    </row>
    <row r="28" spans="1:17" ht="15.75">
      <c r="A28" s="14" t="s">
        <v>20</v>
      </c>
      <c r="B28" s="15">
        <v>10674</v>
      </c>
      <c r="C28" s="15">
        <v>8473</v>
      </c>
      <c r="D28" s="15">
        <v>564</v>
      </c>
      <c r="E28" s="15">
        <v>27664</v>
      </c>
      <c r="F28" s="15">
        <v>4464</v>
      </c>
      <c r="G28" s="15">
        <v>135563</v>
      </c>
      <c r="H28" s="15">
        <v>44356</v>
      </c>
      <c r="I28" s="15">
        <v>29774</v>
      </c>
      <c r="J28" s="15">
        <v>125371</v>
      </c>
      <c r="K28" s="15">
        <v>19418</v>
      </c>
      <c r="L28" s="15">
        <v>70330</v>
      </c>
      <c r="M28" s="15">
        <v>61240</v>
      </c>
      <c r="N28" s="16">
        <v>537891</v>
      </c>
      <c r="O28" s="28"/>
      <c r="P28" s="29"/>
      <c r="Q28" s="29"/>
    </row>
    <row r="29" spans="1:17" ht="15.75">
      <c r="A29" s="12" t="s">
        <v>33</v>
      </c>
      <c r="B29" s="24">
        <v>18586</v>
      </c>
      <c r="C29" s="24">
        <v>16976</v>
      </c>
      <c r="D29" s="24">
        <v>16891</v>
      </c>
      <c r="E29" s="24">
        <v>16783</v>
      </c>
      <c r="F29" s="24">
        <v>18917</v>
      </c>
      <c r="G29" s="24">
        <v>19172</v>
      </c>
      <c r="H29" s="24">
        <v>15585</v>
      </c>
      <c r="I29" s="24">
        <v>15384</v>
      </c>
      <c r="J29" s="24">
        <v>18355</v>
      </c>
      <c r="K29" s="24">
        <v>16227</v>
      </c>
      <c r="L29" s="24">
        <v>16226</v>
      </c>
      <c r="M29" s="24">
        <v>10320</v>
      </c>
      <c r="N29" s="11">
        <v>199422</v>
      </c>
      <c r="O29" s="28"/>
      <c r="P29" s="29"/>
      <c r="Q29" s="29"/>
    </row>
    <row r="30" spans="1:17" ht="15.75">
      <c r="A30" s="12" t="s">
        <v>34</v>
      </c>
      <c r="B30" s="24">
        <v>-10285</v>
      </c>
      <c r="C30" s="24">
        <v>-5245</v>
      </c>
      <c r="D30" s="24">
        <v>822</v>
      </c>
      <c r="E30" s="24">
        <v>7136</v>
      </c>
      <c r="F30" s="24">
        <v>4955</v>
      </c>
      <c r="G30" s="24">
        <v>55560</v>
      </c>
      <c r="H30" s="24">
        <v>5871</v>
      </c>
      <c r="I30" s="24">
        <v>9493</v>
      </c>
      <c r="J30" s="24">
        <v>6028</v>
      </c>
      <c r="K30" s="24">
        <v>7500</v>
      </c>
      <c r="L30" s="24">
        <v>51120</v>
      </c>
      <c r="M30" s="24">
        <v>46936</v>
      </c>
      <c r="N30" s="11">
        <v>179891</v>
      </c>
      <c r="O30" s="28"/>
      <c r="P30" s="29"/>
      <c r="Q30" s="29"/>
    </row>
    <row r="31" spans="1:17" ht="15.75">
      <c r="A31" s="12" t="s">
        <v>35</v>
      </c>
      <c r="B31" s="24">
        <v>-140012</v>
      </c>
      <c r="C31" s="24">
        <v>117028</v>
      </c>
      <c r="D31" s="24">
        <v>140539</v>
      </c>
      <c r="E31" s="24">
        <v>214999</v>
      </c>
      <c r="F31" s="24">
        <v>207031</v>
      </c>
      <c r="G31" s="24">
        <v>465973</v>
      </c>
      <c r="H31" s="24">
        <v>221161</v>
      </c>
      <c r="I31" s="24">
        <v>124248</v>
      </c>
      <c r="J31" s="24">
        <v>228864</v>
      </c>
      <c r="K31" s="24">
        <v>106786</v>
      </c>
      <c r="L31" s="24">
        <v>146399</v>
      </c>
      <c r="M31" s="24">
        <v>185362</v>
      </c>
      <c r="N31" s="11">
        <v>2018378</v>
      </c>
      <c r="O31" s="28"/>
      <c r="P31" s="29"/>
      <c r="Q31" s="29"/>
    </row>
    <row r="32" spans="1:17" ht="15.75">
      <c r="A32" s="9" t="s">
        <v>36</v>
      </c>
      <c r="B32" s="24">
        <v>0</v>
      </c>
      <c r="C32" s="24">
        <v>0</v>
      </c>
      <c r="D32" s="24">
        <v>7065</v>
      </c>
      <c r="E32" s="24">
        <v>0</v>
      </c>
      <c r="F32" s="24">
        <v>0</v>
      </c>
      <c r="G32" s="24">
        <v>7608</v>
      </c>
      <c r="H32" s="24">
        <v>0</v>
      </c>
      <c r="I32" s="24">
        <v>0</v>
      </c>
      <c r="J32" s="24">
        <v>6120</v>
      </c>
      <c r="K32" s="24">
        <v>0</v>
      </c>
      <c r="L32" s="24">
        <v>0</v>
      </c>
      <c r="M32" s="24">
        <v>2026</v>
      </c>
      <c r="N32" s="11">
        <v>22819</v>
      </c>
      <c r="O32" s="28"/>
      <c r="P32" s="29"/>
      <c r="Q32" s="29"/>
    </row>
    <row r="33" spans="1:17" ht="15.75">
      <c r="A33" s="9" t="s">
        <v>39</v>
      </c>
      <c r="B33" s="24">
        <v>0</v>
      </c>
      <c r="C33" s="24">
        <v>0</v>
      </c>
      <c r="D33" s="24">
        <v>7500</v>
      </c>
      <c r="E33" s="24">
        <v>89326</v>
      </c>
      <c r="F33" s="24">
        <v>0</v>
      </c>
      <c r="G33" s="24">
        <v>141500</v>
      </c>
      <c r="H33" s="24">
        <v>0</v>
      </c>
      <c r="I33" s="24">
        <v>0</v>
      </c>
      <c r="J33" s="24">
        <v>148300</v>
      </c>
      <c r="K33" s="24"/>
      <c r="L33" s="24">
        <v>1800</v>
      </c>
      <c r="M33" s="24">
        <v>1500</v>
      </c>
      <c r="N33" s="11">
        <v>389926</v>
      </c>
      <c r="O33" s="28"/>
      <c r="P33" s="29"/>
      <c r="Q33" s="29"/>
    </row>
    <row r="34" spans="1:17" ht="16.5" thickBot="1">
      <c r="A34" s="12" t="s">
        <v>37</v>
      </c>
      <c r="B34" s="24">
        <v>-480</v>
      </c>
      <c r="C34" s="24">
        <v>12847</v>
      </c>
      <c r="D34" s="24">
        <v>21747</v>
      </c>
      <c r="E34" s="24">
        <v>199329</v>
      </c>
      <c r="F34" s="24">
        <v>24050</v>
      </c>
      <c r="G34" s="24">
        <v>219771</v>
      </c>
      <c r="H34" s="24">
        <v>23642</v>
      </c>
      <c r="I34" s="24">
        <v>24308</v>
      </c>
      <c r="J34" s="24">
        <v>6888</v>
      </c>
      <c r="K34" s="24">
        <v>26144</v>
      </c>
      <c r="L34" s="24">
        <v>6491</v>
      </c>
      <c r="M34" s="24">
        <v>101174</v>
      </c>
      <c r="N34" s="11">
        <v>665911</v>
      </c>
      <c r="O34" s="28"/>
      <c r="P34" s="29"/>
      <c r="Q34" s="29"/>
    </row>
    <row r="35" spans="1:17" ht="16.5" thickBot="1">
      <c r="A35" s="19" t="s">
        <v>38</v>
      </c>
      <c r="B35" s="25">
        <f aca="true" t="shared" si="0" ref="B35:M35">SUM(B23:B34)-B27-B28</f>
        <v>2144237</v>
      </c>
      <c r="C35" s="25">
        <f t="shared" si="0"/>
        <v>1593426</v>
      </c>
      <c r="D35" s="25">
        <f t="shared" si="0"/>
        <v>1725773</v>
      </c>
      <c r="E35" s="25">
        <f t="shared" si="0"/>
        <v>1968135</v>
      </c>
      <c r="F35" s="25">
        <f t="shared" si="0"/>
        <v>1638394</v>
      </c>
      <c r="G35" s="25">
        <f t="shared" si="0"/>
        <v>3441707</v>
      </c>
      <c r="H35" s="25">
        <f t="shared" si="0"/>
        <v>1831959</v>
      </c>
      <c r="I35" s="25">
        <f t="shared" si="0"/>
        <v>1692147</v>
      </c>
      <c r="J35" s="25">
        <f t="shared" si="0"/>
        <v>2058287</v>
      </c>
      <c r="K35" s="25">
        <f t="shared" si="0"/>
        <v>1689886</v>
      </c>
      <c r="L35" s="25">
        <f t="shared" si="0"/>
        <v>2125588</v>
      </c>
      <c r="M35" s="25">
        <f t="shared" si="0"/>
        <v>2399574</v>
      </c>
      <c r="N35" s="26">
        <f>SUM(B35:M35)</f>
        <v>24309113</v>
      </c>
      <c r="O35" s="28"/>
      <c r="P35" s="30"/>
      <c r="Q35" s="29"/>
    </row>
    <row r="36" spans="1:17" ht="16.5" thickBot="1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9"/>
    </row>
    <row r="37" spans="1:14" ht="16.5" thickBot="1">
      <c r="A37" s="2" t="s">
        <v>1</v>
      </c>
      <c r="B37" s="3" t="s">
        <v>2</v>
      </c>
      <c r="C37" s="4" t="s">
        <v>3</v>
      </c>
      <c r="D37" s="4" t="s">
        <v>4</v>
      </c>
      <c r="E37" s="4" t="s">
        <v>5</v>
      </c>
      <c r="F37" s="4" t="s">
        <v>6</v>
      </c>
      <c r="G37" s="4" t="s">
        <v>7</v>
      </c>
      <c r="H37" s="4" t="s">
        <v>8</v>
      </c>
      <c r="I37" s="4" t="s">
        <v>9</v>
      </c>
      <c r="J37" s="4" t="s">
        <v>10</v>
      </c>
      <c r="K37" s="4" t="s">
        <v>11</v>
      </c>
      <c r="L37" s="4" t="s">
        <v>12</v>
      </c>
      <c r="M37" s="4" t="s">
        <v>13</v>
      </c>
      <c r="N37" s="5" t="s">
        <v>14</v>
      </c>
    </row>
    <row r="38" spans="1:14" ht="18.75">
      <c r="A38" s="6" t="s">
        <v>15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8"/>
    </row>
    <row r="39" spans="1:14" ht="12.75">
      <c r="A39" s="9" t="s">
        <v>16</v>
      </c>
      <c r="B39" s="34">
        <f>+B5/$N5</f>
        <v>0.08809396429770297</v>
      </c>
      <c r="C39" s="34">
        <f aca="true" t="shared" si="1" ref="C39:M39">+C5/$N5</f>
        <v>0.08997131707667962</v>
      </c>
      <c r="D39" s="34">
        <f t="shared" si="1"/>
        <v>0.08982295712847073</v>
      </c>
      <c r="E39" s="34">
        <f t="shared" si="1"/>
        <v>0.08005480326571716</v>
      </c>
      <c r="F39" s="34">
        <f t="shared" si="1"/>
        <v>0.07926205162326763</v>
      </c>
      <c r="G39" s="34">
        <f t="shared" si="1"/>
        <v>0.10711663189948688</v>
      </c>
      <c r="H39" s="34">
        <f t="shared" si="1"/>
        <v>0.07705051431448712</v>
      </c>
      <c r="I39" s="34">
        <f t="shared" si="1"/>
        <v>0.08024325037164916</v>
      </c>
      <c r="J39" s="34">
        <f t="shared" si="1"/>
        <v>0.08900472953531866</v>
      </c>
      <c r="K39" s="34">
        <f t="shared" si="1"/>
        <v>0.08147433822471586</v>
      </c>
      <c r="L39" s="34">
        <f t="shared" si="1"/>
        <v>0.0867602233491584</v>
      </c>
      <c r="M39" s="34">
        <f t="shared" si="1"/>
        <v>0.0511452189133458</v>
      </c>
      <c r="N39" s="35">
        <f>SUM(B39:M39)</f>
        <v>0.9999999999999999</v>
      </c>
    </row>
    <row r="40" spans="1:14" ht="12.75">
      <c r="A40" s="12" t="s">
        <v>17</v>
      </c>
      <c r="B40" s="34">
        <f aca="true" t="shared" si="2" ref="B40:M54">+B6/$N6</f>
        <v>0.06468764203284808</v>
      </c>
      <c r="C40" s="34">
        <f t="shared" si="2"/>
        <v>0.06469839955033577</v>
      </c>
      <c r="D40" s="34">
        <f t="shared" si="2"/>
        <v>0.06468226327410423</v>
      </c>
      <c r="E40" s="34">
        <f t="shared" si="2"/>
        <v>0.06454241554676428</v>
      </c>
      <c r="F40" s="34">
        <f t="shared" si="2"/>
        <v>0.0647145358265673</v>
      </c>
      <c r="G40" s="34">
        <f t="shared" si="2"/>
        <v>0.12409334297924068</v>
      </c>
      <c r="H40" s="34">
        <f t="shared" si="2"/>
        <v>0.06472798272342692</v>
      </c>
      <c r="I40" s="34">
        <f t="shared" si="2"/>
        <v>0.06470108892970769</v>
      </c>
      <c r="J40" s="34">
        <f t="shared" si="2"/>
        <v>0.06501843569559453</v>
      </c>
      <c r="K40" s="34">
        <f t="shared" si="2"/>
        <v>0.06740122581911773</v>
      </c>
      <c r="L40" s="34">
        <f t="shared" si="2"/>
        <v>0.22484825176893927</v>
      </c>
      <c r="M40" s="34">
        <f t="shared" si="2"/>
        <v>0.06588441585335353</v>
      </c>
      <c r="N40" s="35">
        <f aca="true" t="shared" si="3" ref="N40:N54">SUM(B40:M40)</f>
        <v>1</v>
      </c>
    </row>
    <row r="41" spans="1:14" ht="12.75">
      <c r="A41" s="12" t="s">
        <v>18</v>
      </c>
      <c r="B41" s="34">
        <f t="shared" si="2"/>
        <v>0.13880673646822975</v>
      </c>
      <c r="C41" s="34">
        <f t="shared" si="2"/>
        <v>0.0694034363287719</v>
      </c>
      <c r="D41" s="34">
        <f t="shared" si="2"/>
        <v>0.0694034363287719</v>
      </c>
      <c r="E41" s="34">
        <f t="shared" si="2"/>
        <v>0.0694034363287719</v>
      </c>
      <c r="F41" s="34">
        <f t="shared" si="2"/>
        <v>0.0694034363287719</v>
      </c>
      <c r="G41" s="34">
        <f t="shared" si="2"/>
        <v>0.0694034363287719</v>
      </c>
      <c r="H41" s="34">
        <f t="shared" si="2"/>
        <v>0.07102940054911532</v>
      </c>
      <c r="I41" s="34">
        <f t="shared" si="2"/>
        <v>0.06835859191144426</v>
      </c>
      <c r="J41" s="34">
        <f t="shared" si="2"/>
        <v>0.09784398696940644</v>
      </c>
      <c r="K41" s="34">
        <f t="shared" si="2"/>
        <v>0.07065923799355008</v>
      </c>
      <c r="L41" s="34">
        <f t="shared" si="2"/>
        <v>0.11261085810162991</v>
      </c>
      <c r="M41" s="34">
        <f t="shared" si="2"/>
        <v>0.09367400636276475</v>
      </c>
      <c r="N41" s="35">
        <f t="shared" si="3"/>
        <v>1</v>
      </c>
    </row>
    <row r="42" spans="1:14" ht="12.75">
      <c r="A42" s="14" t="s">
        <v>19</v>
      </c>
      <c r="B42" s="34">
        <f t="shared" si="2"/>
        <v>0</v>
      </c>
      <c r="C42" s="34">
        <f t="shared" si="2"/>
        <v>0</v>
      </c>
      <c r="D42" s="34">
        <f t="shared" si="2"/>
        <v>0</v>
      </c>
      <c r="E42" s="34">
        <f t="shared" si="2"/>
        <v>0</v>
      </c>
      <c r="F42" s="34">
        <f t="shared" si="2"/>
        <v>0</v>
      </c>
      <c r="G42" s="34">
        <f t="shared" si="2"/>
        <v>0</v>
      </c>
      <c r="H42" s="34">
        <f t="shared" si="2"/>
        <v>0.06498190254014256</v>
      </c>
      <c r="I42" s="34">
        <f t="shared" si="2"/>
        <v>0.06433208351474115</v>
      </c>
      <c r="J42" s="34">
        <f t="shared" si="2"/>
        <v>-0.012937896795742386</v>
      </c>
      <c r="K42" s="34">
        <f t="shared" si="2"/>
        <v>0.15530674707094075</v>
      </c>
      <c r="L42" s="34">
        <f t="shared" si="2"/>
        <v>0.49379747740254337</v>
      </c>
      <c r="M42" s="34">
        <f t="shared" si="2"/>
        <v>0.23451968626737454</v>
      </c>
      <c r="N42" s="35">
        <f t="shared" si="3"/>
        <v>0.9999999999999999</v>
      </c>
    </row>
    <row r="43" spans="1:14" ht="12.75">
      <c r="A43" s="14" t="s">
        <v>20</v>
      </c>
      <c r="B43" s="34">
        <f t="shared" si="2"/>
        <v>0.14177812776514012</v>
      </c>
      <c r="C43" s="34">
        <f t="shared" si="2"/>
        <v>0.07088913343490756</v>
      </c>
      <c r="D43" s="34">
        <f t="shared" si="2"/>
        <v>0.07088913343490756</v>
      </c>
      <c r="E43" s="34">
        <f t="shared" si="2"/>
        <v>0.07088913343490756</v>
      </c>
      <c r="F43" s="34">
        <f t="shared" si="2"/>
        <v>0.07088913343490756</v>
      </c>
      <c r="G43" s="34">
        <f t="shared" si="2"/>
        <v>0.07088913343490756</v>
      </c>
      <c r="H43" s="34">
        <f t="shared" si="2"/>
        <v>0.0711588573997636</v>
      </c>
      <c r="I43" s="34">
        <f t="shared" si="2"/>
        <v>0.06844478608552629</v>
      </c>
      <c r="J43" s="34">
        <f t="shared" si="2"/>
        <v>0.1002154592311323</v>
      </c>
      <c r="K43" s="34">
        <f t="shared" si="2"/>
        <v>0.06884721591034759</v>
      </c>
      <c r="L43" s="34">
        <f t="shared" si="2"/>
        <v>0.10445091837601969</v>
      </c>
      <c r="M43" s="34">
        <f t="shared" si="2"/>
        <v>0.09065896805753258</v>
      </c>
      <c r="N43" s="35">
        <f t="shared" si="3"/>
        <v>1</v>
      </c>
    </row>
    <row r="44" spans="1:14" ht="12.75">
      <c r="A44" s="12" t="s">
        <v>21</v>
      </c>
      <c r="B44" s="34">
        <f t="shared" si="2"/>
        <v>0.12918271146567967</v>
      </c>
      <c r="C44" s="34">
        <f t="shared" si="2"/>
        <v>0.06507966456459145</v>
      </c>
      <c r="D44" s="34">
        <f t="shared" si="2"/>
        <v>0.06481778577738805</v>
      </c>
      <c r="E44" s="34">
        <f t="shared" si="2"/>
        <v>0.06458184509456649</v>
      </c>
      <c r="F44" s="34">
        <f t="shared" si="2"/>
        <v>0.0630288251114666</v>
      </c>
      <c r="G44" s="34">
        <f t="shared" si="2"/>
        <v>0.07521704429344411</v>
      </c>
      <c r="H44" s="34">
        <f t="shared" si="2"/>
        <v>0.06699581800903721</v>
      </c>
      <c r="I44" s="34">
        <f t="shared" si="2"/>
        <v>0.06606070131254493</v>
      </c>
      <c r="J44" s="34">
        <f t="shared" si="2"/>
        <v>0.12692571211624576</v>
      </c>
      <c r="K44" s="34">
        <f t="shared" si="2"/>
        <v>0.06603514747637615</v>
      </c>
      <c r="L44" s="34">
        <f t="shared" si="2"/>
        <v>0.09615908550313582</v>
      </c>
      <c r="M44" s="34">
        <f t="shared" si="2"/>
        <v>0.11591565927552376</v>
      </c>
      <c r="N44" s="35">
        <f t="shared" si="3"/>
        <v>0.9999999999999999</v>
      </c>
    </row>
    <row r="45" spans="1:14" ht="12.75">
      <c r="A45" s="12" t="s">
        <v>22</v>
      </c>
      <c r="B45" s="34">
        <f t="shared" si="2"/>
        <v>0.060914452563081006</v>
      </c>
      <c r="C45" s="34">
        <f t="shared" si="2"/>
        <v>0.06688639850121608</v>
      </c>
      <c r="D45" s="34">
        <f t="shared" si="2"/>
        <v>0.06698697267082257</v>
      </c>
      <c r="E45" s="34">
        <f t="shared" si="2"/>
        <v>0.10219259926025365</v>
      </c>
      <c r="F45" s="34">
        <f t="shared" si="2"/>
        <v>0.0678811584863139</v>
      </c>
      <c r="G45" s="34">
        <f t="shared" si="2"/>
        <v>0.12131065988277573</v>
      </c>
      <c r="H45" s="34">
        <f t="shared" si="2"/>
        <v>0.07960559917175936</v>
      </c>
      <c r="I45" s="34">
        <f t="shared" si="2"/>
        <v>0.07531952889558123</v>
      </c>
      <c r="J45" s="34">
        <f t="shared" si="2"/>
        <v>0.08053556706215163</v>
      </c>
      <c r="K45" s="34">
        <f t="shared" si="2"/>
        <v>0.07569345615400898</v>
      </c>
      <c r="L45" s="34">
        <f t="shared" si="2"/>
        <v>0.08006005897727875</v>
      </c>
      <c r="M45" s="34">
        <f t="shared" si="2"/>
        <v>0.1226135483747571</v>
      </c>
      <c r="N45" s="35">
        <f t="shared" si="3"/>
        <v>1</v>
      </c>
    </row>
    <row r="46" spans="1:14" ht="12.75">
      <c r="A46" s="14" t="s">
        <v>19</v>
      </c>
      <c r="B46" s="34">
        <f t="shared" si="2"/>
        <v>0.009659130678238958</v>
      </c>
      <c r="C46" s="34">
        <f t="shared" si="2"/>
        <v>0.08211957893486556</v>
      </c>
      <c r="D46" s="34">
        <f t="shared" si="2"/>
        <v>0.07919893270211742</v>
      </c>
      <c r="E46" s="34">
        <f t="shared" si="2"/>
        <v>0.10756122858033686</v>
      </c>
      <c r="F46" s="34">
        <f t="shared" si="2"/>
        <v>0.09107771209682038</v>
      </c>
      <c r="G46" s="34">
        <f t="shared" si="2"/>
        <v>0.09080197933701119</v>
      </c>
      <c r="H46" s="34">
        <f t="shared" si="2"/>
        <v>0.06204517351014166</v>
      </c>
      <c r="I46" s="34">
        <f t="shared" si="2"/>
        <v>0.04797750020679957</v>
      </c>
      <c r="J46" s="34">
        <f t="shared" si="2"/>
        <v>0.08871489444737853</v>
      </c>
      <c r="K46" s="34">
        <f t="shared" si="2"/>
        <v>0.08152993503311974</v>
      </c>
      <c r="L46" s="34">
        <f t="shared" si="2"/>
        <v>0.07553805006034306</v>
      </c>
      <c r="M46" s="34">
        <f t="shared" si="2"/>
        <v>0.18377588441282708</v>
      </c>
      <c r="N46" s="35">
        <f t="shared" si="3"/>
        <v>1</v>
      </c>
    </row>
    <row r="47" spans="1:14" ht="12.75">
      <c r="A47" s="14" t="s">
        <v>20</v>
      </c>
      <c r="B47" s="34">
        <f t="shared" si="2"/>
        <v>0.06575512376059374</v>
      </c>
      <c r="C47" s="34">
        <f t="shared" si="2"/>
        <v>0.0654477416932976</v>
      </c>
      <c r="D47" s="34">
        <f t="shared" si="2"/>
        <v>0.06583364690844652</v>
      </c>
      <c r="E47" s="34">
        <f t="shared" si="2"/>
        <v>0.10168557348489636</v>
      </c>
      <c r="F47" s="34">
        <f t="shared" si="2"/>
        <v>0.06569042228927627</v>
      </c>
      <c r="G47" s="34">
        <f t="shared" si="2"/>
        <v>0.1241919702669697</v>
      </c>
      <c r="H47" s="34">
        <f t="shared" si="2"/>
        <v>0.08126404640397536</v>
      </c>
      <c r="I47" s="34">
        <f t="shared" si="2"/>
        <v>0.0779017733511466</v>
      </c>
      <c r="J47" s="34">
        <f t="shared" si="2"/>
        <v>0.07976309245790172</v>
      </c>
      <c r="K47" s="34">
        <f t="shared" si="2"/>
        <v>0.07514224558374899</v>
      </c>
      <c r="L47" s="34">
        <f t="shared" si="2"/>
        <v>0.08048712796278404</v>
      </c>
      <c r="M47" s="34">
        <f t="shared" si="2"/>
        <v>0.11683723583696311</v>
      </c>
      <c r="N47" s="35">
        <f t="shared" si="3"/>
        <v>0.9999999999999999</v>
      </c>
    </row>
    <row r="48" spans="1:14" ht="12.75">
      <c r="A48" s="12" t="s">
        <v>23</v>
      </c>
      <c r="B48" s="34">
        <f t="shared" si="2"/>
        <v>0.08337093370615639</v>
      </c>
      <c r="C48" s="34">
        <f t="shared" si="2"/>
        <v>0.08333884555268044</v>
      </c>
      <c r="D48" s="34">
        <f t="shared" si="2"/>
        <v>0.08262727667559974</v>
      </c>
      <c r="E48" s="34">
        <f t="shared" si="2"/>
        <v>0.08355192215076197</v>
      </c>
      <c r="F48" s="34">
        <f t="shared" si="2"/>
        <v>0.08397779387189452</v>
      </c>
      <c r="G48" s="34">
        <f t="shared" si="2"/>
        <v>0.08220675298004651</v>
      </c>
      <c r="H48" s="34">
        <f t="shared" si="2"/>
        <v>0.08347930159289535</v>
      </c>
      <c r="I48" s="34">
        <f t="shared" si="2"/>
        <v>0.08389813643826563</v>
      </c>
      <c r="J48" s="34">
        <f t="shared" si="2"/>
        <v>0.08474143562961602</v>
      </c>
      <c r="K48" s="34">
        <f t="shared" si="2"/>
        <v>0.08348633846865762</v>
      </c>
      <c r="L48" s="34">
        <f t="shared" si="2"/>
        <v>0.08305821494728113</v>
      </c>
      <c r="M48" s="34">
        <f t="shared" si="2"/>
        <v>0.08226304798614467</v>
      </c>
      <c r="N48" s="35">
        <f t="shared" si="3"/>
        <v>1</v>
      </c>
    </row>
    <row r="49" spans="1:14" ht="12.75">
      <c r="A49" s="12" t="s">
        <v>24</v>
      </c>
      <c r="B49" s="34">
        <v>0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5">
        <f t="shared" si="3"/>
        <v>0</v>
      </c>
    </row>
    <row r="50" spans="1:14" ht="12.75">
      <c r="A50" s="12" t="s">
        <v>40</v>
      </c>
      <c r="B50" s="34">
        <f t="shared" si="2"/>
        <v>0.01488130669777852</v>
      </c>
      <c r="C50" s="34">
        <f t="shared" si="2"/>
        <v>0.01488130669777852</v>
      </c>
      <c r="D50" s="34">
        <f t="shared" si="2"/>
        <v>0.01488130669777852</v>
      </c>
      <c r="E50" s="34">
        <f t="shared" si="2"/>
        <v>0.01488130669777852</v>
      </c>
      <c r="F50" s="34">
        <f t="shared" si="2"/>
        <v>0.01488130669777852</v>
      </c>
      <c r="G50" s="34">
        <f t="shared" si="2"/>
        <v>0.01488130669777852</v>
      </c>
      <c r="H50" s="34">
        <f t="shared" si="2"/>
        <v>0.01488130669777852</v>
      </c>
      <c r="I50" s="34">
        <f t="shared" si="2"/>
        <v>0.01488130669777852</v>
      </c>
      <c r="J50" s="34">
        <f t="shared" si="2"/>
        <v>0.8363056263244363</v>
      </c>
      <c r="K50" s="34">
        <f t="shared" si="2"/>
        <v>0.01488130669777852</v>
      </c>
      <c r="L50" s="34">
        <f t="shared" si="2"/>
        <v>0.01488130669777852</v>
      </c>
      <c r="M50" s="34">
        <f t="shared" si="2"/>
        <v>0.01488130669777852</v>
      </c>
      <c r="N50" s="35">
        <f t="shared" si="3"/>
        <v>1</v>
      </c>
    </row>
    <row r="51" spans="1:14" ht="12.75">
      <c r="A51" s="12" t="s">
        <v>25</v>
      </c>
      <c r="B51" s="34">
        <f t="shared" si="2"/>
        <v>0.010074676953293345</v>
      </c>
      <c r="C51" s="34">
        <f t="shared" si="2"/>
        <v>0.010241410737373094</v>
      </c>
      <c r="D51" s="34">
        <f t="shared" si="2"/>
        <v>0.011222737966554333</v>
      </c>
      <c r="E51" s="34">
        <f t="shared" si="2"/>
        <v>0.4737464939982903</v>
      </c>
      <c r="F51" s="34">
        <f t="shared" si="2"/>
        <v>0.013807818118875536</v>
      </c>
      <c r="G51" s="34">
        <f t="shared" si="2"/>
        <v>0.24616265021936798</v>
      </c>
      <c r="H51" s="34">
        <f t="shared" si="2"/>
        <v>0.014094656747419512</v>
      </c>
      <c r="I51" s="34">
        <f t="shared" si="2"/>
        <v>0.014373723886027567</v>
      </c>
      <c r="J51" s="34">
        <f t="shared" si="2"/>
        <v>0.18200617480200362</v>
      </c>
      <c r="K51" s="34">
        <f t="shared" si="2"/>
        <v>0.00839391562987926</v>
      </c>
      <c r="L51" s="34">
        <f t="shared" si="2"/>
        <v>0.011967388002232538</v>
      </c>
      <c r="M51" s="34">
        <f t="shared" si="2"/>
        <v>0.003908352938682944</v>
      </c>
      <c r="N51" s="35">
        <f t="shared" si="3"/>
        <v>1</v>
      </c>
    </row>
    <row r="52" spans="1:14" ht="12.75">
      <c r="A52" s="14" t="s">
        <v>19</v>
      </c>
      <c r="B52" s="34">
        <f t="shared" si="2"/>
        <v>0.0272951758269436</v>
      </c>
      <c r="C52" s="34">
        <f t="shared" si="2"/>
        <v>0.024457121491056104</v>
      </c>
      <c r="D52" s="34">
        <f t="shared" si="2"/>
        <v>0.03138218179646503</v>
      </c>
      <c r="E52" s="34">
        <f t="shared" si="2"/>
        <v>0.33023475616880843</v>
      </c>
      <c r="F52" s="34">
        <f t="shared" si="2"/>
        <v>0.03657273130921809</v>
      </c>
      <c r="G52" s="34">
        <f t="shared" si="2"/>
        <v>0.2291969059235621</v>
      </c>
      <c r="H52" s="34">
        <f t="shared" si="2"/>
        <v>0.03337115674732488</v>
      </c>
      <c r="I52" s="34">
        <f t="shared" si="2"/>
        <v>0.037808700077637536</v>
      </c>
      <c r="J52" s="34">
        <f t="shared" si="2"/>
        <v>0.19166344258847173</v>
      </c>
      <c r="K52" s="34">
        <f t="shared" si="2"/>
        <v>0.01927695827047463</v>
      </c>
      <c r="L52" s="34">
        <f t="shared" si="2"/>
        <v>0.03016438903934587</v>
      </c>
      <c r="M52" s="34">
        <f t="shared" si="2"/>
        <v>0.008576480760692038</v>
      </c>
      <c r="N52" s="35">
        <f t="shared" si="3"/>
        <v>1</v>
      </c>
    </row>
    <row r="53" spans="1:14" ht="12.75">
      <c r="A53" s="14" t="s">
        <v>20</v>
      </c>
      <c r="B53" s="34">
        <f t="shared" si="2"/>
        <v>0.00363775068984293</v>
      </c>
      <c r="C53" s="34">
        <f t="shared" si="2"/>
        <v>0.004927657484613809</v>
      </c>
      <c r="D53" s="34">
        <f t="shared" si="2"/>
        <v>0.003687250499123077</v>
      </c>
      <c r="E53" s="34">
        <f t="shared" si="2"/>
        <v>0.5273903797605957</v>
      </c>
      <c r="F53" s="34">
        <f t="shared" si="2"/>
        <v>0.005298420761967064</v>
      </c>
      <c r="G53" s="34">
        <f t="shared" si="2"/>
        <v>0.25250435064500193</v>
      </c>
      <c r="H53" s="34">
        <f t="shared" si="2"/>
        <v>0.006889208750401579</v>
      </c>
      <c r="I53" s="34">
        <f t="shared" si="2"/>
        <v>0.005613860723066038</v>
      </c>
      <c r="J53" s="34">
        <f t="shared" si="2"/>
        <v>0.17839634206115265</v>
      </c>
      <c r="K53" s="34">
        <f t="shared" si="2"/>
        <v>0.004325895097286537</v>
      </c>
      <c r="L53" s="34">
        <f t="shared" si="2"/>
        <v>0.005165450686057651</v>
      </c>
      <c r="M53" s="34">
        <f t="shared" si="2"/>
        <v>0.002163432840891113</v>
      </c>
      <c r="N53" s="35">
        <f t="shared" si="3"/>
        <v>1</v>
      </c>
    </row>
    <row r="54" spans="1:14" ht="14.25" thickBot="1">
      <c r="A54" s="17" t="s">
        <v>26</v>
      </c>
      <c r="B54" s="34">
        <f t="shared" si="2"/>
        <v>0.13880673646822975</v>
      </c>
      <c r="C54" s="34">
        <f t="shared" si="2"/>
        <v>0.0694034363287719</v>
      </c>
      <c r="D54" s="34">
        <f t="shared" si="2"/>
        <v>0.0694034363287719</v>
      </c>
      <c r="E54" s="34">
        <f t="shared" si="2"/>
        <v>0.0694034363287719</v>
      </c>
      <c r="F54" s="34">
        <f t="shared" si="2"/>
        <v>0.0694034363287719</v>
      </c>
      <c r="G54" s="34">
        <f t="shared" si="2"/>
        <v>0.0694034363287719</v>
      </c>
      <c r="H54" s="34">
        <f t="shared" si="2"/>
        <v>0.07102940054911532</v>
      </c>
      <c r="I54" s="34">
        <f t="shared" si="2"/>
        <v>0.06835859191144426</v>
      </c>
      <c r="J54" s="34">
        <f t="shared" si="2"/>
        <v>0.09784398696940644</v>
      </c>
      <c r="K54" s="34">
        <f t="shared" si="2"/>
        <v>0.07065923799355008</v>
      </c>
      <c r="L54" s="34">
        <f t="shared" si="2"/>
        <v>0.11261085810162991</v>
      </c>
      <c r="M54" s="34">
        <f t="shared" si="2"/>
        <v>0.09367400636276475</v>
      </c>
      <c r="N54" s="35">
        <f t="shared" si="3"/>
        <v>1</v>
      </c>
    </row>
    <row r="55" spans="1:14" ht="13.5" thickBot="1">
      <c r="A55" s="19" t="s">
        <v>27</v>
      </c>
      <c r="B55" s="20">
        <f>SUM(B44:B54)</f>
        <v>0.5435779988098379</v>
      </c>
      <c r="C55" s="20">
        <f aca="true" t="shared" si="4" ref="C55:N55">SUM(C44:C54)</f>
        <v>0.4867831619862446</v>
      </c>
      <c r="D55" s="20">
        <f t="shared" si="4"/>
        <v>0.4900415280230671</v>
      </c>
      <c r="E55" s="20">
        <f t="shared" si="4"/>
        <v>1.8752295415250602</v>
      </c>
      <c r="F55" s="20">
        <f t="shared" si="4"/>
        <v>0.5116196250723828</v>
      </c>
      <c r="G55" s="20">
        <f t="shared" si="4"/>
        <v>1.3058770565747297</v>
      </c>
      <c r="H55" s="20">
        <f t="shared" si="4"/>
        <v>0.5136556681798488</v>
      </c>
      <c r="I55" s="20">
        <f t="shared" si="4"/>
        <v>0.492193823500292</v>
      </c>
      <c r="J55" s="20">
        <f t="shared" si="4"/>
        <v>1.9468962744587643</v>
      </c>
      <c r="K55" s="20">
        <f t="shared" si="4"/>
        <v>0.4994244364048805</v>
      </c>
      <c r="L55" s="20">
        <f t="shared" si="4"/>
        <v>0.5900919299778673</v>
      </c>
      <c r="M55" s="20">
        <f t="shared" si="4"/>
        <v>0.7446089554870253</v>
      </c>
      <c r="N55" s="20">
        <f t="shared" si="4"/>
        <v>10</v>
      </c>
    </row>
    <row r="56" spans="1:14" ht="18.75">
      <c r="A56" s="21" t="s">
        <v>28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3"/>
    </row>
    <row r="57" spans="1:14" ht="12.75">
      <c r="A57" s="9" t="s">
        <v>29</v>
      </c>
      <c r="B57" s="36">
        <f>+B23/$N23</f>
        <v>0.13534215476828038</v>
      </c>
      <c r="C57" s="36">
        <f>+C23/$N23</f>
        <v>0.07249069243668506</v>
      </c>
      <c r="D57" s="36">
        <f>+D23/$N23</f>
        <v>0.08032321665512326</v>
      </c>
      <c r="E57" s="36">
        <f>+E23/$N23</f>
        <v>0.07466207029922885</v>
      </c>
      <c r="F57" s="36">
        <f aca="true" t="shared" si="5" ref="F57:M57">+F23/$N23</f>
        <v>0.0696538613947729</v>
      </c>
      <c r="G57" s="36">
        <f t="shared" si="5"/>
        <v>0.08405583064362938</v>
      </c>
      <c r="H57" s="36">
        <f t="shared" si="5"/>
        <v>0.07777010909071823</v>
      </c>
      <c r="I57" s="36">
        <f t="shared" si="5"/>
        <v>0.07617970324401611</v>
      </c>
      <c r="J57" s="36">
        <f t="shared" si="5"/>
        <v>0.07600902505103692</v>
      </c>
      <c r="K57" s="36">
        <f t="shared" si="5"/>
        <v>0.07630334652396853</v>
      </c>
      <c r="L57" s="36">
        <f t="shared" si="5"/>
        <v>0.09092070741316659</v>
      </c>
      <c r="M57" s="36">
        <f t="shared" si="5"/>
        <v>0.08628928247937377</v>
      </c>
      <c r="N57" s="37"/>
    </row>
    <row r="58" spans="1:14" ht="12.75">
      <c r="A58" s="12" t="s">
        <v>30</v>
      </c>
      <c r="B58" s="36">
        <f aca="true" t="shared" si="6" ref="B58:D68">+B24/$N24</f>
        <v>0.13461860427194086</v>
      </c>
      <c r="C58" s="36">
        <f t="shared" si="6"/>
        <v>0.07284917007786686</v>
      </c>
      <c r="D58" s="36">
        <f t="shared" si="6"/>
        <v>0.07926255837213399</v>
      </c>
      <c r="E58" s="36">
        <f aca="true" t="shared" si="7" ref="E58:M68">+E24/$N24</f>
        <v>0.07436966186329018</v>
      </c>
      <c r="F58" s="36">
        <f t="shared" si="7"/>
        <v>0.0699886787779055</v>
      </c>
      <c r="G58" s="36">
        <f t="shared" si="7"/>
        <v>0.08164598992853128</v>
      </c>
      <c r="H58" s="36">
        <f t="shared" si="7"/>
        <v>0.0790515691313405</v>
      </c>
      <c r="I58" s="36">
        <f t="shared" si="7"/>
        <v>0.07626109638473981</v>
      </c>
      <c r="J58" s="36">
        <f t="shared" si="7"/>
        <v>0.07587241561519546</v>
      </c>
      <c r="K58" s="36">
        <f t="shared" si="7"/>
        <v>0.0764798654647956</v>
      </c>
      <c r="L58" s="36">
        <f t="shared" si="7"/>
        <v>0.09080597267595973</v>
      </c>
      <c r="M58" s="36">
        <f t="shared" si="7"/>
        <v>0.08879441743630023</v>
      </c>
      <c r="N58" s="37">
        <f aca="true" t="shared" si="8" ref="N58:N68">SUM(B58:M58)</f>
        <v>0.9999999999999999</v>
      </c>
    </row>
    <row r="59" spans="1:14" ht="12.75">
      <c r="A59" s="12" t="s">
        <v>31</v>
      </c>
      <c r="B59" s="36">
        <f t="shared" si="6"/>
        <v>0.06894719283027746</v>
      </c>
      <c r="C59" s="36">
        <f t="shared" si="6"/>
        <v>0.06854319357478235</v>
      </c>
      <c r="D59" s="36">
        <f t="shared" si="6"/>
        <v>0.06710363016368572</v>
      </c>
      <c r="E59" s="36">
        <f t="shared" si="7"/>
        <v>0.05989892994981616</v>
      </c>
      <c r="F59" s="36">
        <f t="shared" si="7"/>
        <v>0.06471924790959183</v>
      </c>
      <c r="G59" s="36">
        <f t="shared" si="7"/>
        <v>0.18110292077695406</v>
      </c>
      <c r="H59" s="36">
        <f t="shared" si="7"/>
        <v>0.06921184324660319</v>
      </c>
      <c r="I59" s="36">
        <f t="shared" si="7"/>
        <v>0.06799254090387108</v>
      </c>
      <c r="J59" s="36">
        <f t="shared" si="7"/>
        <v>0.07239242431159637</v>
      </c>
      <c r="K59" s="36">
        <f t="shared" si="7"/>
        <v>0.0717300959076814</v>
      </c>
      <c r="L59" s="36">
        <f t="shared" si="7"/>
        <v>0.0891912640077541</v>
      </c>
      <c r="M59" s="36">
        <f t="shared" si="7"/>
        <v>0.1191667164173863</v>
      </c>
      <c r="N59" s="37">
        <f t="shared" si="8"/>
        <v>1</v>
      </c>
    </row>
    <row r="60" spans="1:14" ht="12.75">
      <c r="A60" s="9" t="s">
        <v>32</v>
      </c>
      <c r="B60" s="36">
        <f t="shared" si="6"/>
        <v>0.02042251502176322</v>
      </c>
      <c r="C60" s="36">
        <f t="shared" si="6"/>
        <v>0.019516908864315913</v>
      </c>
      <c r="D60" s="36">
        <f t="shared" si="6"/>
        <v>0.00505925227624192</v>
      </c>
      <c r="E60" s="36">
        <f t="shared" si="7"/>
        <v>0.059788556983201596</v>
      </c>
      <c r="F60" s="36">
        <f t="shared" si="7"/>
        <v>0.01300902401964339</v>
      </c>
      <c r="G60" s="36">
        <f t="shared" si="7"/>
        <v>0.24913950550868252</v>
      </c>
      <c r="H60" s="36">
        <f t="shared" si="7"/>
        <v>0.08171704276585949</v>
      </c>
      <c r="I60" s="36">
        <f t="shared" si="7"/>
        <v>0.0588121212938869</v>
      </c>
      <c r="J60" s="36">
        <f t="shared" si="7"/>
        <v>0.22178075561619162</v>
      </c>
      <c r="K60" s="36">
        <f t="shared" si="7"/>
        <v>0.035168548989583</v>
      </c>
      <c r="L60" s="36">
        <f t="shared" si="7"/>
        <v>0.12819470701026858</v>
      </c>
      <c r="M60" s="36">
        <f t="shared" si="7"/>
        <v>0.10739106165036182</v>
      </c>
      <c r="N60" s="37">
        <f t="shared" si="8"/>
        <v>0.9999999999999999</v>
      </c>
    </row>
    <row r="61" spans="1:14" ht="12.75">
      <c r="A61" s="14" t="s">
        <v>19</v>
      </c>
      <c r="B61" s="36">
        <f t="shared" si="6"/>
        <v>0.026070222577248465</v>
      </c>
      <c r="C61" s="36">
        <f t="shared" si="6"/>
        <v>0.05627972840492357</v>
      </c>
      <c r="D61" s="36">
        <f t="shared" si="6"/>
        <v>0.04422497367561091</v>
      </c>
      <c r="E61" s="36">
        <f t="shared" si="7"/>
        <v>0.14140735630514506</v>
      </c>
      <c r="F61" s="36">
        <f t="shared" si="7"/>
        <v>0.05900294106967793</v>
      </c>
      <c r="G61" s="36">
        <f t="shared" si="7"/>
        <v>0.2209433208670709</v>
      </c>
      <c r="H61" s="36">
        <f t="shared" si="7"/>
        <v>0.07443447950328601</v>
      </c>
      <c r="I61" s="36">
        <f t="shared" si="7"/>
        <v>0.09258923060164845</v>
      </c>
      <c r="J61" s="36">
        <f t="shared" si="7"/>
        <v>0.11145201699284703</v>
      </c>
      <c r="K61" s="36">
        <f t="shared" si="7"/>
        <v>0.026070222577248465</v>
      </c>
      <c r="L61" s="36">
        <f t="shared" si="7"/>
        <v>0.10322791474528885</v>
      </c>
      <c r="M61" s="36">
        <f t="shared" si="7"/>
        <v>0.044297592680004355</v>
      </c>
      <c r="N61" s="37">
        <f t="shared" si="8"/>
        <v>0.9999999999999999</v>
      </c>
    </row>
    <row r="62" spans="1:14" ht="12.75">
      <c r="A62" s="14" t="s">
        <v>20</v>
      </c>
      <c r="B62" s="36">
        <f t="shared" si="6"/>
        <v>0.019844169171821056</v>
      </c>
      <c r="C62" s="36">
        <f t="shared" si="6"/>
        <v>0.015752262075401893</v>
      </c>
      <c r="D62" s="36">
        <f t="shared" si="6"/>
        <v>0.0010485395740029114</v>
      </c>
      <c r="E62" s="36">
        <f t="shared" si="7"/>
        <v>0.05143049428229883</v>
      </c>
      <c r="F62" s="36">
        <f t="shared" si="7"/>
        <v>0.008299079181469852</v>
      </c>
      <c r="G62" s="36">
        <f t="shared" si="7"/>
        <v>0.252026897642831</v>
      </c>
      <c r="H62" s="36">
        <f t="shared" si="7"/>
        <v>0.08246280380225733</v>
      </c>
      <c r="I62" s="36">
        <f t="shared" si="7"/>
        <v>0.05535322212121043</v>
      </c>
      <c r="J62" s="36">
        <f t="shared" si="7"/>
        <v>0.23307882080198405</v>
      </c>
      <c r="K62" s="36">
        <f t="shared" si="7"/>
        <v>0.036100250794305906</v>
      </c>
      <c r="L62" s="36">
        <f t="shared" si="7"/>
        <v>0.13075139758798715</v>
      </c>
      <c r="M62" s="36">
        <f t="shared" si="7"/>
        <v>0.1138520629644296</v>
      </c>
      <c r="N62" s="37">
        <f t="shared" si="8"/>
        <v>1</v>
      </c>
    </row>
    <row r="63" spans="1:14" ht="12.75">
      <c r="A63" s="12" t="s">
        <v>33</v>
      </c>
      <c r="B63" s="36">
        <f t="shared" si="6"/>
        <v>0.09319934611025865</v>
      </c>
      <c r="C63" s="36">
        <f t="shared" si="6"/>
        <v>0.08512601418098305</v>
      </c>
      <c r="D63" s="36">
        <f t="shared" si="6"/>
        <v>0.08469978237105234</v>
      </c>
      <c r="E63" s="36">
        <f t="shared" si="7"/>
        <v>0.08415821724784628</v>
      </c>
      <c r="F63" s="36">
        <f t="shared" si="7"/>
        <v>0.0948591429230476</v>
      </c>
      <c r="G63" s="36">
        <f t="shared" si="7"/>
        <v>0.0961378383528397</v>
      </c>
      <c r="H63" s="36">
        <f t="shared" si="7"/>
        <v>0.07815085597376417</v>
      </c>
      <c r="I63" s="36">
        <f t="shared" si="7"/>
        <v>0.07714294310557511</v>
      </c>
      <c r="J63" s="36">
        <f t="shared" si="7"/>
        <v>0.09204099848562346</v>
      </c>
      <c r="K63" s="36">
        <f t="shared" si="7"/>
        <v>0.08137015976171134</v>
      </c>
      <c r="L63" s="36">
        <f t="shared" si="7"/>
        <v>0.08136514526982981</v>
      </c>
      <c r="M63" s="36">
        <f t="shared" si="7"/>
        <v>0.05174955621746848</v>
      </c>
      <c r="N63" s="37">
        <f t="shared" si="8"/>
        <v>1</v>
      </c>
    </row>
    <row r="64" spans="1:14" ht="12.75">
      <c r="A64" s="12" t="s">
        <v>34</v>
      </c>
      <c r="B64" s="36">
        <f t="shared" si="6"/>
        <v>-0.057173510625879005</v>
      </c>
      <c r="C64" s="36">
        <f t="shared" si="6"/>
        <v>-0.029156544796571256</v>
      </c>
      <c r="D64" s="36">
        <f t="shared" si="6"/>
        <v>0.004569433712637097</v>
      </c>
      <c r="E64" s="36">
        <f t="shared" si="7"/>
        <v>0.03966846590435319</v>
      </c>
      <c r="F64" s="36">
        <f t="shared" si="7"/>
        <v>0.027544457477027755</v>
      </c>
      <c r="G64" s="36">
        <f t="shared" si="7"/>
        <v>0.30885369473736873</v>
      </c>
      <c r="H64" s="36">
        <f t="shared" si="7"/>
        <v>0.03263642983806861</v>
      </c>
      <c r="I64" s="36">
        <f t="shared" si="7"/>
        <v>0.05277084456698779</v>
      </c>
      <c r="J64" s="36">
        <f t="shared" si="7"/>
        <v>0.033509180559338714</v>
      </c>
      <c r="K64" s="36">
        <f t="shared" si="7"/>
        <v>0.041691913436469864</v>
      </c>
      <c r="L64" s="36">
        <f t="shared" si="7"/>
        <v>0.2841720819829786</v>
      </c>
      <c r="M64" s="36">
        <f t="shared" si="7"/>
        <v>0.26091355320721993</v>
      </c>
      <c r="N64" s="37">
        <f t="shared" si="8"/>
        <v>1</v>
      </c>
    </row>
    <row r="65" spans="1:14" ht="12.75">
      <c r="A65" s="12" t="s">
        <v>35</v>
      </c>
      <c r="B65" s="36">
        <f t="shared" si="6"/>
        <v>-0.06936857219014476</v>
      </c>
      <c r="C65" s="36">
        <f t="shared" si="6"/>
        <v>0.05798121065528855</v>
      </c>
      <c r="D65" s="36">
        <f t="shared" si="6"/>
        <v>0.06962967293539664</v>
      </c>
      <c r="E65" s="36">
        <f t="shared" si="7"/>
        <v>0.10652068145808169</v>
      </c>
      <c r="F65" s="36">
        <f t="shared" si="7"/>
        <v>0.10257295709723352</v>
      </c>
      <c r="G65" s="36">
        <f t="shared" si="7"/>
        <v>0.23086508077277892</v>
      </c>
      <c r="H65" s="36">
        <f t="shared" si="7"/>
        <v>0.10957362793292436</v>
      </c>
      <c r="I65" s="36">
        <f t="shared" si="7"/>
        <v>0.06155834040997276</v>
      </c>
      <c r="J65" s="36">
        <f t="shared" si="7"/>
        <v>0.11339005875014492</v>
      </c>
      <c r="K65" s="36">
        <f t="shared" si="7"/>
        <v>0.05290683905591519</v>
      </c>
      <c r="L65" s="36">
        <f t="shared" si="7"/>
        <v>0.07253299431523728</v>
      </c>
      <c r="M65" s="36">
        <f t="shared" si="7"/>
        <v>0.0918371088071709</v>
      </c>
      <c r="N65" s="37">
        <f t="shared" si="8"/>
        <v>1</v>
      </c>
    </row>
    <row r="66" spans="1:14" ht="12.75">
      <c r="A66" s="9" t="s">
        <v>36</v>
      </c>
      <c r="B66" s="36">
        <f t="shared" si="6"/>
        <v>0</v>
      </c>
      <c r="C66" s="36">
        <f t="shared" si="6"/>
        <v>0</v>
      </c>
      <c r="D66" s="36">
        <f t="shared" si="6"/>
        <v>0.30961041237565184</v>
      </c>
      <c r="E66" s="36">
        <f t="shared" si="7"/>
        <v>0</v>
      </c>
      <c r="F66" s="36">
        <f t="shared" si="7"/>
        <v>0</v>
      </c>
      <c r="G66" s="36">
        <f t="shared" si="7"/>
        <v>0.33340637188307987</v>
      </c>
      <c r="H66" s="36">
        <f t="shared" si="7"/>
        <v>0</v>
      </c>
      <c r="I66" s="36">
        <f t="shared" si="7"/>
        <v>0</v>
      </c>
      <c r="J66" s="36">
        <f t="shared" si="7"/>
        <v>0.26819755466935447</v>
      </c>
      <c r="K66" s="36">
        <f t="shared" si="7"/>
        <v>0</v>
      </c>
      <c r="L66" s="36">
        <f t="shared" si="7"/>
        <v>0</v>
      </c>
      <c r="M66" s="36">
        <f t="shared" si="7"/>
        <v>0.08878566107191375</v>
      </c>
      <c r="N66" s="37">
        <f t="shared" si="8"/>
        <v>1</v>
      </c>
    </row>
    <row r="67" spans="1:14" ht="12.75">
      <c r="A67" s="9" t="s">
        <v>39</v>
      </c>
      <c r="B67" s="36">
        <f t="shared" si="6"/>
        <v>0</v>
      </c>
      <c r="C67" s="36">
        <f t="shared" si="6"/>
        <v>0</v>
      </c>
      <c r="D67" s="36">
        <f t="shared" si="6"/>
        <v>0.01923441883844627</v>
      </c>
      <c r="E67" s="36">
        <f t="shared" si="7"/>
        <v>0.22908449295507352</v>
      </c>
      <c r="F67" s="36">
        <f t="shared" si="7"/>
        <v>0</v>
      </c>
      <c r="G67" s="36">
        <f t="shared" si="7"/>
        <v>0.3628893687520196</v>
      </c>
      <c r="H67" s="36">
        <f t="shared" si="7"/>
        <v>0</v>
      </c>
      <c r="I67" s="36">
        <f t="shared" si="7"/>
        <v>0</v>
      </c>
      <c r="J67" s="36">
        <f t="shared" si="7"/>
        <v>0.38032857516554425</v>
      </c>
      <c r="K67" s="36">
        <f t="shared" si="7"/>
        <v>0</v>
      </c>
      <c r="L67" s="36">
        <f t="shared" si="7"/>
        <v>0.0046162605212271045</v>
      </c>
      <c r="M67" s="36">
        <f t="shared" si="7"/>
        <v>0.003846883767689254</v>
      </c>
      <c r="N67" s="37">
        <f t="shared" si="8"/>
        <v>1</v>
      </c>
    </row>
    <row r="68" spans="1:14" ht="13.5" thickBot="1">
      <c r="A68" s="12" t="s">
        <v>37</v>
      </c>
      <c r="B68" s="36">
        <f t="shared" si="6"/>
        <v>-0.000720817046121779</v>
      </c>
      <c r="C68" s="36">
        <f t="shared" si="6"/>
        <v>0.01929236789901353</v>
      </c>
      <c r="D68" s="36">
        <f t="shared" si="6"/>
        <v>0.03265751729585485</v>
      </c>
      <c r="E68" s="36">
        <f t="shared" si="7"/>
        <v>0.29933279372168353</v>
      </c>
      <c r="F68" s="36">
        <f t="shared" si="7"/>
        <v>0.03611593741505997</v>
      </c>
      <c r="G68" s="36">
        <f t="shared" si="7"/>
        <v>0.33003058967339477</v>
      </c>
      <c r="H68" s="36">
        <f t="shared" si="7"/>
        <v>0.03550324292585646</v>
      </c>
      <c r="I68" s="36">
        <f t="shared" si="7"/>
        <v>0.03650337657735043</v>
      </c>
      <c r="J68" s="36">
        <f t="shared" si="7"/>
        <v>0.01034372461184753</v>
      </c>
      <c r="K68" s="36">
        <f t="shared" si="7"/>
        <v>0.03926050177876623</v>
      </c>
      <c r="L68" s="36">
        <f t="shared" si="7"/>
        <v>0.00974754884661764</v>
      </c>
      <c r="M68" s="36">
        <f t="shared" si="7"/>
        <v>0.15193321630067683</v>
      </c>
      <c r="N68" s="37">
        <f t="shared" si="8"/>
        <v>1.0000000000000002</v>
      </c>
    </row>
    <row r="69" spans="1:14" ht="13.5" thickBot="1">
      <c r="A69" s="19" t="s">
        <v>38</v>
      </c>
      <c r="B69" s="25">
        <f aca="true" t="shared" si="9" ref="B69:M69">SUM(B57:B68)-B61-B62</f>
        <v>0.32526691314037504</v>
      </c>
      <c r="C69" s="25">
        <f t="shared" si="9"/>
        <v>0.36664301289236406</v>
      </c>
      <c r="D69" s="25">
        <f t="shared" si="9"/>
        <v>0.7521498949962239</v>
      </c>
      <c r="E69" s="38">
        <f t="shared" si="9"/>
        <v>1.0274838703825753</v>
      </c>
      <c r="F69" s="38">
        <f t="shared" si="9"/>
        <v>0.47846330701428236</v>
      </c>
      <c r="G69" s="38">
        <f t="shared" si="9"/>
        <v>2.258127191029279</v>
      </c>
      <c r="H69" s="38">
        <f t="shared" si="9"/>
        <v>0.5636147209051351</v>
      </c>
      <c r="I69" s="38">
        <f t="shared" si="9"/>
        <v>0.5072209664864</v>
      </c>
      <c r="J69" s="38">
        <f t="shared" si="9"/>
        <v>1.3438647128358738</v>
      </c>
      <c r="K69" s="38">
        <f t="shared" si="9"/>
        <v>0.4749112709188912</v>
      </c>
      <c r="L69" s="38">
        <f t="shared" si="9"/>
        <v>0.8515466820430396</v>
      </c>
      <c r="M69" s="38">
        <f t="shared" si="9"/>
        <v>1.0507074573555613</v>
      </c>
      <c r="N69" s="39">
        <f>SUM(B69:M69)</f>
        <v>10</v>
      </c>
    </row>
  </sheetData>
  <mergeCells count="2">
    <mergeCell ref="A1:N1"/>
    <mergeCell ref="M2:N2"/>
  </mergeCells>
  <printOptions horizontalCentered="1" verticalCentered="1"/>
  <pageMargins left="0.3937007874015748" right="0.3937007874015748" top="0.69" bottom="0.5905511811023623" header="0.43" footer="0.33"/>
  <pageSetup firstPageNumber="15" useFirstPageNumber="1" horizontalDpi="600" verticalDpi="600" orientation="landscape" paperSize="9" scale="90" r:id="rId1"/>
  <headerFooter alignWithMargins="0">
    <oddHeader>&amp;R&amp;"Times New Roman CE,Normál"A költségvetési rendelet-tervezet 9.sz.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view="pageBreakPreview" zoomScaleSheetLayoutView="100" workbookViewId="0" topLeftCell="A1">
      <pane xSplit="1" ySplit="3" topLeftCell="E1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35" sqref="E35"/>
    </sheetView>
  </sheetViews>
  <sheetFormatPr defaultColWidth="9.00390625" defaultRowHeight="12.75"/>
  <cols>
    <col min="1" max="1" width="28.00390625" style="0" customWidth="1"/>
    <col min="2" max="2" width="13.875" style="0" bestFit="1" customWidth="1"/>
    <col min="3" max="4" width="13.125" style="0" bestFit="1" customWidth="1"/>
    <col min="5" max="6" width="9.375" style="0" customWidth="1"/>
    <col min="7" max="7" width="9.875" style="0" bestFit="1" customWidth="1"/>
    <col min="8" max="13" width="9.375" style="0" customWidth="1"/>
    <col min="14" max="14" width="9.875" style="0" bestFit="1" customWidth="1"/>
    <col min="15" max="15" width="12.625" style="43" customWidth="1"/>
    <col min="16" max="16" width="11.75390625" style="0" bestFit="1" customWidth="1"/>
    <col min="17" max="17" width="12.00390625" style="0" customWidth="1"/>
    <col min="18" max="18" width="9.25390625" style="0" bestFit="1" customWidth="1"/>
  </cols>
  <sheetData>
    <row r="1" spans="1:14" ht="18.75">
      <c r="A1" s="71" t="s">
        <v>42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6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73" t="s">
        <v>0</v>
      </c>
      <c r="N2" s="73"/>
    </row>
    <row r="3" spans="1:14" ht="16.5" thickBot="1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5" t="s">
        <v>14</v>
      </c>
    </row>
    <row r="4" spans="1:14" ht="18.75">
      <c r="A4" s="46" t="s">
        <v>15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1:15" ht="14.25" customHeight="1">
      <c r="A5" s="9" t="s">
        <v>16</v>
      </c>
      <c r="B5" s="63">
        <v>290203</v>
      </c>
      <c r="C5" s="63">
        <v>263203</v>
      </c>
      <c r="D5" s="63">
        <v>272203</v>
      </c>
      <c r="E5" s="63">
        <v>272203</v>
      </c>
      <c r="F5" s="63">
        <v>272203</v>
      </c>
      <c r="G5" s="63">
        <f>249448</f>
        <v>249448</v>
      </c>
      <c r="H5" s="63">
        <v>241958</v>
      </c>
      <c r="I5" s="63">
        <v>241958</v>
      </c>
      <c r="J5" s="63">
        <v>241958</v>
      </c>
      <c r="K5" s="63">
        <v>241958</v>
      </c>
      <c r="L5" s="63">
        <v>241958</v>
      </c>
      <c r="M5" s="63">
        <v>195226</v>
      </c>
      <c r="N5" s="11">
        <f aca="true" t="shared" si="0" ref="N5:N20">SUM(B5:M5)</f>
        <v>3024479</v>
      </c>
      <c r="O5" s="44">
        <v>3024479</v>
      </c>
    </row>
    <row r="6" spans="1:15" ht="14.25" customHeight="1">
      <c r="A6" s="12" t="s">
        <v>43</v>
      </c>
      <c r="B6" s="63">
        <v>203307</v>
      </c>
      <c r="C6" s="63">
        <v>203307</v>
      </c>
      <c r="D6" s="63">
        <v>203307</v>
      </c>
      <c r="E6" s="63">
        <v>203307</v>
      </c>
      <c r="F6" s="63">
        <v>203307</v>
      </c>
      <c r="G6" s="63">
        <v>203307</v>
      </c>
      <c r="H6" s="63">
        <v>203307</v>
      </c>
      <c r="I6" s="63">
        <v>203307</v>
      </c>
      <c r="J6" s="63">
        <v>203307</v>
      </c>
      <c r="K6" s="63">
        <v>203307</v>
      </c>
      <c r="L6" s="63">
        <v>203307</v>
      </c>
      <c r="M6" s="63">
        <v>203302</v>
      </c>
      <c r="N6" s="11">
        <f t="shared" si="0"/>
        <v>2439679</v>
      </c>
      <c r="O6" s="43">
        <v>2439679</v>
      </c>
    </row>
    <row r="7" spans="1:15" ht="14.25" customHeight="1">
      <c r="A7" s="12" t="s">
        <v>17</v>
      </c>
      <c r="B7" s="63">
        <v>198000</v>
      </c>
      <c r="C7" s="63">
        <v>0</v>
      </c>
      <c r="D7" s="63">
        <v>2000</v>
      </c>
      <c r="E7" s="63">
        <v>0</v>
      </c>
      <c r="F7" s="63">
        <v>2000</v>
      </c>
      <c r="G7" s="63">
        <v>0</v>
      </c>
      <c r="H7" s="63">
        <v>2000</v>
      </c>
      <c r="I7" s="63">
        <v>0</v>
      </c>
      <c r="J7" s="63">
        <v>2000</v>
      </c>
      <c r="K7" s="63">
        <v>0</v>
      </c>
      <c r="L7" s="63">
        <v>0</v>
      </c>
      <c r="M7" s="63">
        <v>0</v>
      </c>
      <c r="N7" s="52">
        <f t="shared" si="0"/>
        <v>206000</v>
      </c>
      <c r="O7" s="44">
        <v>206000</v>
      </c>
    </row>
    <row r="8" spans="1:15" ht="14.25" customHeight="1">
      <c r="A8" s="12" t="s">
        <v>60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52">
        <f t="shared" si="0"/>
        <v>0</v>
      </c>
      <c r="O8" s="45">
        <v>0</v>
      </c>
    </row>
    <row r="9" spans="1:15" ht="14.25" customHeight="1">
      <c r="A9" s="12" t="s">
        <v>46</v>
      </c>
      <c r="B9" s="63">
        <v>850794</v>
      </c>
      <c r="C9" s="63">
        <v>425397</v>
      </c>
      <c r="D9" s="63">
        <v>425397</v>
      </c>
      <c r="E9" s="63">
        <f>425397+54647</f>
        <v>480044</v>
      </c>
      <c r="F9" s="63">
        <v>425397</v>
      </c>
      <c r="G9" s="63">
        <v>425397</v>
      </c>
      <c r="H9" s="63">
        <v>425397</v>
      </c>
      <c r="I9" s="63">
        <v>425397</v>
      </c>
      <c r="J9" s="63">
        <v>607710</v>
      </c>
      <c r="K9" s="63">
        <v>425397</v>
      </c>
      <c r="L9" s="63">
        <v>607710</v>
      </c>
      <c r="M9" s="63">
        <v>607708</v>
      </c>
      <c r="N9" s="52">
        <f t="shared" si="0"/>
        <v>6131745</v>
      </c>
      <c r="O9" s="43">
        <v>6077098</v>
      </c>
    </row>
    <row r="10" spans="1:15" ht="14.25" customHeight="1">
      <c r="A10" s="12" t="s">
        <v>47</v>
      </c>
      <c r="B10" s="63">
        <v>0</v>
      </c>
      <c r="C10" s="63">
        <v>0</v>
      </c>
      <c r="D10" s="63">
        <v>0</v>
      </c>
      <c r="E10" s="63">
        <v>4620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52">
        <f t="shared" si="0"/>
        <v>4620</v>
      </c>
      <c r="O10" s="43">
        <v>0</v>
      </c>
    </row>
    <row r="11" spans="1:15" ht="14.25" customHeight="1">
      <c r="A11" s="12" t="s">
        <v>45</v>
      </c>
      <c r="B11" s="63">
        <v>767283</v>
      </c>
      <c r="C11" s="63">
        <v>306913</v>
      </c>
      <c r="D11" s="63">
        <v>306913</v>
      </c>
      <c r="E11" s="63">
        <f>306913+56949</f>
        <v>363862</v>
      </c>
      <c r="F11" s="63">
        <v>306913</v>
      </c>
      <c r="G11" s="63">
        <f>306913</f>
        <v>306913</v>
      </c>
      <c r="H11" s="63">
        <v>306913</v>
      </c>
      <c r="I11" s="63">
        <v>358065</v>
      </c>
      <c r="J11" s="63">
        <v>664979</v>
      </c>
      <c r="K11" s="63">
        <v>358065</v>
      </c>
      <c r="L11" s="63">
        <v>511522</v>
      </c>
      <c r="M11" s="63">
        <v>613829</v>
      </c>
      <c r="N11" s="52">
        <f t="shared" si="0"/>
        <v>5172170</v>
      </c>
      <c r="O11" s="43">
        <v>5115221</v>
      </c>
    </row>
    <row r="12" spans="1:15" ht="14.25" customHeight="1">
      <c r="A12" s="9" t="s">
        <v>44</v>
      </c>
      <c r="B12" s="63">
        <v>643875</v>
      </c>
      <c r="C12" s="63">
        <v>643875</v>
      </c>
      <c r="D12" s="63">
        <v>643875</v>
      </c>
      <c r="E12" s="63">
        <f>643875+13839</f>
        <v>657714</v>
      </c>
      <c r="F12" s="63">
        <v>827839</v>
      </c>
      <c r="G12" s="63">
        <f>827839</f>
        <v>827839</v>
      </c>
      <c r="H12" s="63">
        <v>551892</v>
      </c>
      <c r="I12" s="63">
        <v>551892</v>
      </c>
      <c r="J12" s="63">
        <v>551892</v>
      </c>
      <c r="K12" s="63">
        <v>735857</v>
      </c>
      <c r="L12" s="63">
        <v>735857</v>
      </c>
      <c r="M12" s="63">
        <v>1839640</v>
      </c>
      <c r="N12" s="52">
        <f t="shared" si="0"/>
        <v>9212047</v>
      </c>
      <c r="O12" s="43">
        <v>9198208</v>
      </c>
    </row>
    <row r="13" spans="1:15" ht="14.25" customHeight="1">
      <c r="A13" s="9" t="s">
        <v>59</v>
      </c>
      <c r="B13" s="63">
        <v>47918</v>
      </c>
      <c r="C13" s="63">
        <v>47918</v>
      </c>
      <c r="D13" s="63">
        <v>47918</v>
      </c>
      <c r="E13" s="63">
        <f>47918+2300</f>
        <v>50218</v>
      </c>
      <c r="F13" s="63">
        <v>68455</v>
      </c>
      <c r="G13" s="63">
        <f>68455</f>
        <v>68455</v>
      </c>
      <c r="H13" s="63">
        <v>54764</v>
      </c>
      <c r="I13" s="63">
        <v>54764</v>
      </c>
      <c r="J13" s="63">
        <v>54764</v>
      </c>
      <c r="K13" s="63">
        <v>54764</v>
      </c>
      <c r="L13" s="63">
        <v>54764</v>
      </c>
      <c r="M13" s="63">
        <v>82147</v>
      </c>
      <c r="N13" s="52">
        <f t="shared" si="0"/>
        <v>686849</v>
      </c>
      <c r="O13" s="43">
        <v>684549</v>
      </c>
    </row>
    <row r="14" spans="1:15" ht="14.25" customHeight="1">
      <c r="A14" s="9" t="s">
        <v>61</v>
      </c>
      <c r="B14" s="63">
        <v>0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52">
        <f t="shared" si="0"/>
        <v>0</v>
      </c>
      <c r="O14" s="43">
        <v>0</v>
      </c>
    </row>
    <row r="15" spans="1:15" ht="14.25" customHeight="1">
      <c r="A15" s="12" t="s">
        <v>40</v>
      </c>
      <c r="B15" s="63">
        <v>446</v>
      </c>
      <c r="C15" s="63">
        <v>446</v>
      </c>
      <c r="D15" s="63">
        <v>446</v>
      </c>
      <c r="E15" s="63">
        <v>446</v>
      </c>
      <c r="F15" s="63">
        <v>446</v>
      </c>
      <c r="G15" s="63">
        <v>446</v>
      </c>
      <c r="H15" s="63">
        <v>446</v>
      </c>
      <c r="I15" s="63">
        <v>446</v>
      </c>
      <c r="J15" s="63">
        <v>25094</v>
      </c>
      <c r="K15" s="63">
        <v>446</v>
      </c>
      <c r="L15" s="63">
        <v>446</v>
      </c>
      <c r="M15" s="63">
        <v>446</v>
      </c>
      <c r="N15" s="52">
        <f t="shared" si="0"/>
        <v>30000</v>
      </c>
      <c r="O15" s="43">
        <v>30000</v>
      </c>
    </row>
    <row r="16" spans="1:15" ht="14.25" customHeight="1">
      <c r="A16" s="12" t="s">
        <v>62</v>
      </c>
      <c r="B16" s="63">
        <v>59028</v>
      </c>
      <c r="C16" s="63">
        <v>59028</v>
      </c>
      <c r="D16" s="63">
        <v>59028</v>
      </c>
      <c r="E16" s="63">
        <f>59028+20000</f>
        <v>79028</v>
      </c>
      <c r="F16" s="63">
        <v>4541</v>
      </c>
      <c r="G16" s="63">
        <f>108974</f>
        <v>108974</v>
      </c>
      <c r="H16" s="63">
        <v>4541</v>
      </c>
      <c r="I16" s="63">
        <v>4541</v>
      </c>
      <c r="J16" s="63">
        <v>81730</v>
      </c>
      <c r="K16" s="63">
        <v>4541</v>
      </c>
      <c r="L16" s="63">
        <v>4541</v>
      </c>
      <c r="M16" s="63">
        <v>4537</v>
      </c>
      <c r="N16" s="52">
        <f t="shared" si="0"/>
        <v>474058</v>
      </c>
      <c r="O16" s="43">
        <v>454058</v>
      </c>
    </row>
    <row r="17" spans="1:15" ht="14.25" customHeight="1">
      <c r="A17" s="12" t="s">
        <v>63</v>
      </c>
      <c r="B17" s="63">
        <v>1090477</v>
      </c>
      <c r="C17" s="63">
        <v>1090477</v>
      </c>
      <c r="D17" s="63">
        <v>1090477</v>
      </c>
      <c r="E17" s="63">
        <v>1090477</v>
      </c>
      <c r="F17" s="63">
        <v>396537</v>
      </c>
      <c r="G17" s="63">
        <f>1982685</f>
        <v>1982685</v>
      </c>
      <c r="H17" s="63">
        <v>297403</v>
      </c>
      <c r="I17" s="63">
        <v>297403</v>
      </c>
      <c r="J17" s="63">
        <v>1982685</v>
      </c>
      <c r="K17" s="63">
        <v>198269</v>
      </c>
      <c r="L17" s="63">
        <v>297403</v>
      </c>
      <c r="M17" s="63">
        <v>99132</v>
      </c>
      <c r="N17" s="52">
        <f t="shared" si="0"/>
        <v>9913425</v>
      </c>
      <c r="O17" s="43">
        <v>9913425</v>
      </c>
    </row>
    <row r="18" spans="1:15" ht="14.25" customHeight="1">
      <c r="A18" s="12" t="s">
        <v>48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52">
        <f t="shared" si="0"/>
        <v>0</v>
      </c>
      <c r="O18" s="43">
        <v>0</v>
      </c>
    </row>
    <row r="19" spans="1:15" ht="14.25" customHeight="1">
      <c r="A19" s="12" t="s">
        <v>49</v>
      </c>
      <c r="B19" s="63">
        <v>0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52">
        <f t="shared" si="0"/>
        <v>0</v>
      </c>
      <c r="O19" s="43">
        <v>0</v>
      </c>
    </row>
    <row r="20" spans="1:15" ht="14.25" customHeight="1" thickBot="1">
      <c r="A20" s="50" t="s">
        <v>26</v>
      </c>
      <c r="B20" s="51">
        <v>-850794</v>
      </c>
      <c r="C20" s="51">
        <v>-425397</v>
      </c>
      <c r="D20" s="51">
        <v>-425397</v>
      </c>
      <c r="E20" s="51">
        <f>-425397-54647-4620</f>
        <v>-484664</v>
      </c>
      <c r="F20" s="51">
        <v>-425397</v>
      </c>
      <c r="G20" s="51">
        <v>-425397</v>
      </c>
      <c r="H20" s="51">
        <v>-425397</v>
      </c>
      <c r="I20" s="51">
        <v>-425397</v>
      </c>
      <c r="J20" s="51">
        <v>-607710</v>
      </c>
      <c r="K20" s="51">
        <v>-425397</v>
      </c>
      <c r="L20" s="51">
        <v>-607710</v>
      </c>
      <c r="M20" s="51">
        <v>-607708</v>
      </c>
      <c r="N20" s="52">
        <f t="shared" si="0"/>
        <v>-6136365</v>
      </c>
      <c r="O20" s="43">
        <v>-6077098</v>
      </c>
    </row>
    <row r="21" spans="1:15" ht="13.5" thickBot="1">
      <c r="A21" s="19" t="s">
        <v>27</v>
      </c>
      <c r="B21" s="61">
        <f aca="true" t="shared" si="1" ref="B21:O21">SUM(B5:B20)</f>
        <v>3300537</v>
      </c>
      <c r="C21" s="61">
        <f t="shared" si="1"/>
        <v>2615167</v>
      </c>
      <c r="D21" s="61">
        <f t="shared" si="1"/>
        <v>2626167</v>
      </c>
      <c r="E21" s="61">
        <f t="shared" si="1"/>
        <v>2717255</v>
      </c>
      <c r="F21" s="61">
        <f t="shared" si="1"/>
        <v>2082241</v>
      </c>
      <c r="G21" s="61">
        <f t="shared" si="1"/>
        <v>3748067</v>
      </c>
      <c r="H21" s="61">
        <f t="shared" si="1"/>
        <v>1663224</v>
      </c>
      <c r="I21" s="61">
        <f t="shared" si="1"/>
        <v>1712376</v>
      </c>
      <c r="J21" s="61">
        <f t="shared" si="1"/>
        <v>3808409</v>
      </c>
      <c r="K21" s="61">
        <f t="shared" si="1"/>
        <v>1797207</v>
      </c>
      <c r="L21" s="61">
        <f t="shared" si="1"/>
        <v>2049798</v>
      </c>
      <c r="M21" s="61">
        <f t="shared" si="1"/>
        <v>3038259</v>
      </c>
      <c r="N21" s="61">
        <f t="shared" si="1"/>
        <v>31158707</v>
      </c>
      <c r="O21" s="43">
        <f t="shared" si="1"/>
        <v>31065619</v>
      </c>
    </row>
    <row r="22" spans="1:14" ht="18.75">
      <c r="A22" s="49" t="s">
        <v>28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7"/>
    </row>
    <row r="23" spans="1:15" ht="14.25" customHeight="1">
      <c r="A23" s="9" t="s">
        <v>29</v>
      </c>
      <c r="B23" s="63">
        <v>1031738</v>
      </c>
      <c r="C23" s="63">
        <v>697120</v>
      </c>
      <c r="D23" s="63">
        <v>697120</v>
      </c>
      <c r="E23" s="63">
        <f>697120+42788</f>
        <v>739908</v>
      </c>
      <c r="F23" s="63">
        <v>697120</v>
      </c>
      <c r="G23" s="63">
        <v>697120</v>
      </c>
      <c r="H23" s="63">
        <v>697120</v>
      </c>
      <c r="I23" s="63">
        <v>697120</v>
      </c>
      <c r="J23" s="63">
        <v>697120</v>
      </c>
      <c r="K23" s="63">
        <v>697120</v>
      </c>
      <c r="L23" s="63">
        <v>697120</v>
      </c>
      <c r="M23" s="63">
        <v>697119</v>
      </c>
      <c r="N23" s="52">
        <f aca="true" t="shared" si="2" ref="N23:N37">SUM(B23:M23)</f>
        <v>8742845</v>
      </c>
      <c r="O23" s="43">
        <v>8700057</v>
      </c>
    </row>
    <row r="24" spans="1:15" ht="14.25" customHeight="1">
      <c r="A24" s="12" t="s">
        <v>30</v>
      </c>
      <c r="B24" s="63">
        <v>328398</v>
      </c>
      <c r="C24" s="63">
        <v>221890</v>
      </c>
      <c r="D24" s="63">
        <v>221890</v>
      </c>
      <c r="E24" s="63">
        <f>221890+12383</f>
        <v>234273</v>
      </c>
      <c r="F24" s="63">
        <v>221890</v>
      </c>
      <c r="G24" s="63">
        <v>221890</v>
      </c>
      <c r="H24" s="63">
        <v>221890</v>
      </c>
      <c r="I24" s="63">
        <v>221890</v>
      </c>
      <c r="J24" s="63">
        <v>221890</v>
      </c>
      <c r="K24" s="63">
        <v>221890</v>
      </c>
      <c r="L24" s="63">
        <v>221890</v>
      </c>
      <c r="M24" s="63">
        <v>221893</v>
      </c>
      <c r="N24" s="52">
        <f t="shared" si="2"/>
        <v>2781574</v>
      </c>
      <c r="O24" s="43">
        <v>2769191</v>
      </c>
    </row>
    <row r="25" spans="1:15" ht="14.25" customHeight="1">
      <c r="A25" s="12" t="s">
        <v>50</v>
      </c>
      <c r="B25" s="63">
        <v>829390</v>
      </c>
      <c r="C25" s="63">
        <v>829390</v>
      </c>
      <c r="D25" s="63">
        <v>714916</v>
      </c>
      <c r="E25" s="63">
        <f>528949+52268</f>
        <v>581217</v>
      </c>
      <c r="F25" s="63">
        <v>457458</v>
      </c>
      <c r="G25" s="63">
        <v>325966</v>
      </c>
      <c r="H25" s="63">
        <v>315966</v>
      </c>
      <c r="I25" s="63">
        <v>315966</v>
      </c>
      <c r="J25" s="63">
        <v>457458</v>
      </c>
      <c r="K25" s="63">
        <v>714916</v>
      </c>
      <c r="L25" s="63">
        <v>829390</v>
      </c>
      <c r="M25" s="63">
        <v>829390</v>
      </c>
      <c r="N25" s="52">
        <f t="shared" si="2"/>
        <v>7201423</v>
      </c>
      <c r="O25" s="43">
        <v>7149155</v>
      </c>
    </row>
    <row r="26" spans="1:15" ht="14.25" customHeight="1">
      <c r="A26" s="9" t="s">
        <v>51</v>
      </c>
      <c r="B26" s="63">
        <v>0</v>
      </c>
      <c r="C26" s="63">
        <v>0</v>
      </c>
      <c r="D26" s="63">
        <v>0</v>
      </c>
      <c r="E26" s="63">
        <v>1101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52">
        <f t="shared" si="2"/>
        <v>1101</v>
      </c>
      <c r="O26" s="43">
        <v>0</v>
      </c>
    </row>
    <row r="27" spans="1:15" ht="14.25" customHeight="1">
      <c r="A27" s="9" t="s">
        <v>52</v>
      </c>
      <c r="B27" s="63">
        <v>0</v>
      </c>
      <c r="C27" s="63">
        <v>0</v>
      </c>
      <c r="D27" s="63">
        <v>0</v>
      </c>
      <c r="E27" s="63">
        <f>6750+1000</f>
        <v>7750</v>
      </c>
      <c r="F27" s="63">
        <v>0</v>
      </c>
      <c r="G27" s="63">
        <v>0</v>
      </c>
      <c r="H27" s="63">
        <v>6750</v>
      </c>
      <c r="I27" s="63">
        <v>0</v>
      </c>
      <c r="J27" s="63">
        <v>0</v>
      </c>
      <c r="K27" s="63">
        <v>6750</v>
      </c>
      <c r="L27" s="63">
        <v>0</v>
      </c>
      <c r="M27" s="63">
        <v>6750</v>
      </c>
      <c r="N27" s="52">
        <f t="shared" si="2"/>
        <v>28000</v>
      </c>
      <c r="O27" s="43">
        <v>27000</v>
      </c>
    </row>
    <row r="28" spans="1:15" ht="14.25" customHeight="1">
      <c r="A28" s="9" t="s">
        <v>53</v>
      </c>
      <c r="B28" s="63">
        <v>0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52">
        <f t="shared" si="2"/>
        <v>0</v>
      </c>
      <c r="O28" s="43">
        <v>0</v>
      </c>
    </row>
    <row r="29" spans="1:15" ht="14.25" customHeight="1">
      <c r="A29" s="9" t="s">
        <v>54</v>
      </c>
      <c r="B29" s="63">
        <f>4976-4976</f>
        <v>0</v>
      </c>
      <c r="C29" s="63">
        <f>4976-4976</f>
        <v>0</v>
      </c>
      <c r="D29" s="63">
        <f>4976-4976</f>
        <v>0</v>
      </c>
      <c r="E29" s="63">
        <f>4976-2036</f>
        <v>2940</v>
      </c>
      <c r="F29" s="63">
        <v>4976</v>
      </c>
      <c r="G29" s="63">
        <v>54736</v>
      </c>
      <c r="H29" s="63">
        <v>19904</v>
      </c>
      <c r="I29" s="63">
        <v>14928</v>
      </c>
      <c r="J29" s="63">
        <v>57224</v>
      </c>
      <c r="K29" s="63">
        <v>9952</v>
      </c>
      <c r="L29" s="63">
        <v>34832</v>
      </c>
      <c r="M29" s="63">
        <v>32343</v>
      </c>
      <c r="N29" s="52">
        <f t="shared" si="2"/>
        <v>231835</v>
      </c>
      <c r="O29" s="43">
        <v>248799</v>
      </c>
    </row>
    <row r="30" spans="1:15" ht="14.25" customHeight="1">
      <c r="A30" s="9" t="s">
        <v>55</v>
      </c>
      <c r="B30" s="63">
        <v>400</v>
      </c>
      <c r="C30" s="63">
        <v>400</v>
      </c>
      <c r="D30" s="63">
        <v>120</v>
      </c>
      <c r="E30" s="63">
        <f>40+2300</f>
        <v>2340</v>
      </c>
      <c r="F30" s="63">
        <v>40</v>
      </c>
      <c r="G30" s="63">
        <v>520</v>
      </c>
      <c r="H30" s="63">
        <v>480</v>
      </c>
      <c r="I30" s="63">
        <v>80</v>
      </c>
      <c r="J30" s="63">
        <v>480</v>
      </c>
      <c r="K30" s="63">
        <v>480</v>
      </c>
      <c r="L30" s="63">
        <v>480</v>
      </c>
      <c r="M30" s="63">
        <v>480</v>
      </c>
      <c r="N30" s="52">
        <f t="shared" si="2"/>
        <v>6300</v>
      </c>
      <c r="O30" s="43">
        <v>4000</v>
      </c>
    </row>
    <row r="31" spans="1:15" ht="14.25" customHeight="1">
      <c r="A31" s="12" t="s">
        <v>33</v>
      </c>
      <c r="B31" s="63">
        <v>25435</v>
      </c>
      <c r="C31" s="63">
        <v>22891</v>
      </c>
      <c r="D31" s="63">
        <v>22891</v>
      </c>
      <c r="E31" s="63">
        <v>22891</v>
      </c>
      <c r="F31" s="63">
        <v>22891</v>
      </c>
      <c r="G31" s="63">
        <v>22891</v>
      </c>
      <c r="H31" s="63">
        <v>20348</v>
      </c>
      <c r="I31" s="63">
        <v>20348</v>
      </c>
      <c r="J31" s="63">
        <v>20348</v>
      </c>
      <c r="K31" s="63">
        <v>20348</v>
      </c>
      <c r="L31" s="63">
        <v>20348</v>
      </c>
      <c r="M31" s="63">
        <v>12715</v>
      </c>
      <c r="N31" s="52">
        <f t="shared" si="2"/>
        <v>254345</v>
      </c>
      <c r="O31" s="43">
        <v>254345</v>
      </c>
    </row>
    <row r="32" spans="1:15" ht="14.25" customHeight="1">
      <c r="A32" s="12" t="s">
        <v>34</v>
      </c>
      <c r="B32" s="63">
        <v>2617</v>
      </c>
      <c r="C32" s="63">
        <v>2617</v>
      </c>
      <c r="D32" s="63">
        <v>2617</v>
      </c>
      <c r="E32" s="63">
        <v>2617</v>
      </c>
      <c r="F32" s="63">
        <v>2617</v>
      </c>
      <c r="G32" s="63">
        <v>10469</v>
      </c>
      <c r="H32" s="63">
        <v>2094</v>
      </c>
      <c r="I32" s="63">
        <v>2617</v>
      </c>
      <c r="J32" s="63">
        <v>2094</v>
      </c>
      <c r="K32" s="63">
        <v>2094</v>
      </c>
      <c r="L32" s="63">
        <v>10469</v>
      </c>
      <c r="M32" s="63">
        <v>9423</v>
      </c>
      <c r="N32" s="52">
        <f t="shared" si="2"/>
        <v>52345</v>
      </c>
      <c r="O32" s="43">
        <v>52345</v>
      </c>
    </row>
    <row r="33" spans="1:15" ht="14.25" customHeight="1">
      <c r="A33" s="12" t="s">
        <v>35</v>
      </c>
      <c r="B33" s="63">
        <v>139792</v>
      </c>
      <c r="C33" s="63">
        <v>139792</v>
      </c>
      <c r="D33" s="63">
        <v>139792</v>
      </c>
      <c r="E33" s="63">
        <f>163090+104620</f>
        <v>267710</v>
      </c>
      <c r="F33" s="63">
        <v>163090</v>
      </c>
      <c r="G33" s="63">
        <v>465972</v>
      </c>
      <c r="H33" s="63">
        <v>232986</v>
      </c>
      <c r="I33" s="63">
        <v>139792</v>
      </c>
      <c r="J33" s="63">
        <v>232986</v>
      </c>
      <c r="K33" s="63">
        <v>139792</v>
      </c>
      <c r="L33" s="63">
        <v>139792</v>
      </c>
      <c r="M33" s="63">
        <v>232984</v>
      </c>
      <c r="N33" s="52">
        <f t="shared" si="2"/>
        <v>2434480</v>
      </c>
      <c r="O33" s="43">
        <v>2329860</v>
      </c>
    </row>
    <row r="34" spans="1:15" ht="14.25" customHeight="1">
      <c r="A34" s="9" t="s">
        <v>56</v>
      </c>
      <c r="B34" s="63">
        <v>0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52">
        <f t="shared" si="2"/>
        <v>0</v>
      </c>
      <c r="O34" s="43">
        <v>0</v>
      </c>
    </row>
    <row r="35" spans="1:15" ht="14.25" customHeight="1">
      <c r="A35" s="12" t="s">
        <v>37</v>
      </c>
      <c r="B35" s="63">
        <v>0</v>
      </c>
      <c r="C35" s="63">
        <v>0</v>
      </c>
      <c r="D35" s="63">
        <v>57628</v>
      </c>
      <c r="E35" s="63">
        <f>115255-106408</f>
        <v>8847</v>
      </c>
      <c r="F35" s="63">
        <v>115255</v>
      </c>
      <c r="G35" s="63">
        <f>307347</f>
        <v>307347</v>
      </c>
      <c r="H35" s="63">
        <v>57628</v>
      </c>
      <c r="I35" s="63">
        <v>57628</v>
      </c>
      <c r="J35" s="63">
        <f>57628+100000</f>
        <v>157628</v>
      </c>
      <c r="K35" s="63">
        <v>38418</v>
      </c>
      <c r="L35" s="63">
        <v>76837</v>
      </c>
      <c r="M35" s="63">
        <v>76836</v>
      </c>
      <c r="N35" s="52">
        <f t="shared" si="2"/>
        <v>954052</v>
      </c>
      <c r="O35" s="43">
        <v>9447460</v>
      </c>
    </row>
    <row r="36" spans="1:15" ht="14.25" customHeight="1">
      <c r="A36" s="9" t="s">
        <v>57</v>
      </c>
      <c r="B36" s="63">
        <v>4170</v>
      </c>
      <c r="C36" s="63">
        <v>8341</v>
      </c>
      <c r="D36" s="63">
        <v>20852</v>
      </c>
      <c r="E36" s="63">
        <v>4170</v>
      </c>
      <c r="F36" s="63">
        <v>8341</v>
      </c>
      <c r="G36" s="63">
        <v>4170</v>
      </c>
      <c r="H36" s="63">
        <v>4170</v>
      </c>
      <c r="I36" s="63">
        <v>8341</v>
      </c>
      <c r="J36" s="63">
        <v>4170</v>
      </c>
      <c r="K36" s="63">
        <v>4170</v>
      </c>
      <c r="L36" s="63">
        <v>8341</v>
      </c>
      <c r="M36" s="63">
        <v>4171</v>
      </c>
      <c r="N36" s="52">
        <f t="shared" si="2"/>
        <v>83407</v>
      </c>
      <c r="O36" s="43">
        <v>83407</v>
      </c>
    </row>
    <row r="37" spans="1:15" ht="14.25" customHeight="1" thickBot="1">
      <c r="A37" s="9" t="s">
        <v>58</v>
      </c>
      <c r="B37" s="44">
        <v>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52">
        <f t="shared" si="2"/>
        <v>0</v>
      </c>
      <c r="O37" s="43">
        <v>0</v>
      </c>
    </row>
    <row r="38" spans="1:15" ht="13.5" thickBot="1">
      <c r="A38" s="19" t="s">
        <v>38</v>
      </c>
      <c r="B38" s="62">
        <f aca="true" t="shared" si="3" ref="B38:O38">SUM(B23:B37)</f>
        <v>2361940</v>
      </c>
      <c r="C38" s="62">
        <f t="shared" si="3"/>
        <v>1922441</v>
      </c>
      <c r="D38" s="62">
        <f t="shared" si="3"/>
        <v>1877826</v>
      </c>
      <c r="E38" s="62">
        <f t="shared" si="3"/>
        <v>1875764</v>
      </c>
      <c r="F38" s="62">
        <f t="shared" si="3"/>
        <v>1693678</v>
      </c>
      <c r="G38" s="62">
        <f t="shared" si="3"/>
        <v>2111081</v>
      </c>
      <c r="H38" s="62">
        <f t="shared" si="3"/>
        <v>1579336</v>
      </c>
      <c r="I38" s="62">
        <f t="shared" si="3"/>
        <v>1478710</v>
      </c>
      <c r="J38" s="62">
        <f t="shared" si="3"/>
        <v>1851398</v>
      </c>
      <c r="K38" s="62">
        <f t="shared" si="3"/>
        <v>1855930</v>
      </c>
      <c r="L38" s="62">
        <f t="shared" si="3"/>
        <v>2039499</v>
      </c>
      <c r="M38" s="62">
        <f t="shared" si="3"/>
        <v>2124104</v>
      </c>
      <c r="N38" s="62">
        <f t="shared" si="3"/>
        <v>22771707</v>
      </c>
      <c r="O38" s="43">
        <f t="shared" si="3"/>
        <v>31065619</v>
      </c>
    </row>
    <row r="41" ht="12.75">
      <c r="O41" s="43">
        <f>9447460-8487000</f>
        <v>960460</v>
      </c>
    </row>
    <row r="42" ht="12.75">
      <c r="O42" s="43">
        <f>22578619+8487000</f>
        <v>31065619</v>
      </c>
    </row>
  </sheetData>
  <mergeCells count="2">
    <mergeCell ref="A1:N1"/>
    <mergeCell ref="M2:N2"/>
  </mergeCells>
  <printOptions horizontalCentered="1" verticalCentered="1"/>
  <pageMargins left="0.3937007874015748" right="0.3937007874015748" top="0.88" bottom="0.5905511811023623" header="0.64" footer="0.31496062992125984"/>
  <pageSetup firstPageNumber="15" useFirstPageNumber="1" horizontalDpi="600" verticalDpi="600" orientation="landscape" paperSize="9" scale="86" r:id="rId1"/>
  <headerFooter alignWithMargins="0">
    <oddHeader>&amp;R&amp;"Times New Roman CE,Normál"&amp;12A költségvetési rendelet-tervezet 9.sz. melléklete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view="pageBreakPreview" zoomScaleSheetLayoutView="100"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20" sqref="J20"/>
    </sheetView>
  </sheetViews>
  <sheetFormatPr defaultColWidth="9.00390625" defaultRowHeight="12.75"/>
  <cols>
    <col min="1" max="1" width="28.00390625" style="0" customWidth="1"/>
    <col min="2" max="2" width="13.875" style="0" bestFit="1" customWidth="1"/>
    <col min="3" max="4" width="13.125" style="0" bestFit="1" customWidth="1"/>
    <col min="5" max="6" width="9.375" style="0" customWidth="1"/>
    <col min="7" max="7" width="9.875" style="0" bestFit="1" customWidth="1"/>
    <col min="8" max="13" width="9.375" style="0" customWidth="1"/>
    <col min="14" max="14" width="9.875" style="0" bestFit="1" customWidth="1"/>
    <col min="15" max="15" width="12.625" style="43" customWidth="1"/>
    <col min="16" max="16" width="11.75390625" style="0" bestFit="1" customWidth="1"/>
    <col min="17" max="17" width="12.00390625" style="0" customWidth="1"/>
    <col min="18" max="18" width="9.25390625" style="0" bestFit="1" customWidth="1"/>
  </cols>
  <sheetData>
    <row r="1" spans="1:14" ht="18.75">
      <c r="A1" s="71" t="s">
        <v>42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6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73" t="s">
        <v>0</v>
      </c>
      <c r="N2" s="73"/>
    </row>
    <row r="3" spans="1:14" ht="16.5" thickBot="1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5" t="s">
        <v>14</v>
      </c>
    </row>
    <row r="4" spans="1:14" ht="18.75">
      <c r="A4" s="46" t="s">
        <v>15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1:15" ht="14.25" customHeight="1">
      <c r="A5" s="9" t="s">
        <v>16</v>
      </c>
      <c r="B5" s="63">
        <v>290203</v>
      </c>
      <c r="C5" s="63">
        <v>263203</v>
      </c>
      <c r="D5" s="63">
        <v>272203</v>
      </c>
      <c r="E5" s="63">
        <v>272203</v>
      </c>
      <c r="F5" s="63">
        <v>272203</v>
      </c>
      <c r="G5" s="63">
        <f>249448+59144</f>
        <v>308592</v>
      </c>
      <c r="H5" s="63">
        <v>241958</v>
      </c>
      <c r="I5" s="63">
        <v>241958</v>
      </c>
      <c r="J5" s="63">
        <v>241958</v>
      </c>
      <c r="K5" s="63">
        <v>241958</v>
      </c>
      <c r="L5" s="63">
        <v>241958</v>
      </c>
      <c r="M5" s="63">
        <v>195226</v>
      </c>
      <c r="N5" s="11">
        <f aca="true" t="shared" si="0" ref="N5:N20">SUM(B5:M5)</f>
        <v>3083623</v>
      </c>
      <c r="O5" s="44">
        <v>3024479</v>
      </c>
    </row>
    <row r="6" spans="1:15" ht="14.25" customHeight="1">
      <c r="A6" s="12" t="s">
        <v>43</v>
      </c>
      <c r="B6" s="63">
        <v>203307</v>
      </c>
      <c r="C6" s="63">
        <v>203307</v>
      </c>
      <c r="D6" s="63">
        <v>203307</v>
      </c>
      <c r="E6" s="63">
        <v>203307</v>
      </c>
      <c r="F6" s="63">
        <v>203307</v>
      </c>
      <c r="G6" s="63">
        <v>203307</v>
      </c>
      <c r="H6" s="63">
        <v>203307</v>
      </c>
      <c r="I6" s="63">
        <v>203307</v>
      </c>
      <c r="J6" s="63">
        <v>203307</v>
      </c>
      <c r="K6" s="63">
        <v>203307</v>
      </c>
      <c r="L6" s="63">
        <v>203307</v>
      </c>
      <c r="M6" s="63">
        <v>203302</v>
      </c>
      <c r="N6" s="11">
        <f t="shared" si="0"/>
        <v>2439679</v>
      </c>
      <c r="O6" s="43">
        <v>2439679</v>
      </c>
    </row>
    <row r="7" spans="1:15" ht="14.25" customHeight="1">
      <c r="A7" s="12" t="s">
        <v>17</v>
      </c>
      <c r="B7" s="63">
        <v>198000</v>
      </c>
      <c r="C7" s="63">
        <v>0</v>
      </c>
      <c r="D7" s="63">
        <v>2000</v>
      </c>
      <c r="E7" s="63">
        <v>0</v>
      </c>
      <c r="F7" s="63">
        <v>2000</v>
      </c>
      <c r="G7" s="63">
        <v>1100</v>
      </c>
      <c r="H7" s="63">
        <v>2000</v>
      </c>
      <c r="I7" s="63">
        <v>0</v>
      </c>
      <c r="J7" s="63">
        <v>2000</v>
      </c>
      <c r="K7" s="63">
        <v>0</v>
      </c>
      <c r="L7" s="63">
        <v>0</v>
      </c>
      <c r="M7" s="63">
        <v>0</v>
      </c>
      <c r="N7" s="52">
        <f t="shared" si="0"/>
        <v>207100</v>
      </c>
      <c r="O7" s="44">
        <v>206000</v>
      </c>
    </row>
    <row r="8" spans="1:15" ht="14.25" customHeight="1">
      <c r="A8" s="12" t="s">
        <v>60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52">
        <f t="shared" si="0"/>
        <v>0</v>
      </c>
      <c r="O8" s="45">
        <v>0</v>
      </c>
    </row>
    <row r="9" spans="1:15" ht="14.25" customHeight="1">
      <c r="A9" s="12" t="s">
        <v>46</v>
      </c>
      <c r="B9" s="63">
        <v>850794</v>
      </c>
      <c r="C9" s="63">
        <v>425397</v>
      </c>
      <c r="D9" s="63">
        <v>425397</v>
      </c>
      <c r="E9" s="63">
        <f>425397+54647</f>
        <v>480044</v>
      </c>
      <c r="F9" s="63">
        <v>425397</v>
      </c>
      <c r="G9" s="63">
        <v>425397</v>
      </c>
      <c r="H9" s="63">
        <v>425397</v>
      </c>
      <c r="I9" s="63">
        <v>425397</v>
      </c>
      <c r="J9" s="63">
        <v>607710</v>
      </c>
      <c r="K9" s="63">
        <v>425397</v>
      </c>
      <c r="L9" s="63">
        <v>607710</v>
      </c>
      <c r="M9" s="63">
        <v>607708</v>
      </c>
      <c r="N9" s="52">
        <f t="shared" si="0"/>
        <v>6131745</v>
      </c>
      <c r="O9" s="43">
        <v>6077098</v>
      </c>
    </row>
    <row r="10" spans="1:15" ht="14.25" customHeight="1">
      <c r="A10" s="12" t="s">
        <v>47</v>
      </c>
      <c r="B10" s="63">
        <v>0</v>
      </c>
      <c r="C10" s="63">
        <v>0</v>
      </c>
      <c r="D10" s="63">
        <v>0</v>
      </c>
      <c r="E10" s="63">
        <v>4620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52">
        <f t="shared" si="0"/>
        <v>4620</v>
      </c>
      <c r="O10" s="43">
        <v>0</v>
      </c>
    </row>
    <row r="11" spans="1:15" ht="14.25" customHeight="1">
      <c r="A11" s="12" t="s">
        <v>45</v>
      </c>
      <c r="B11" s="63">
        <v>767283</v>
      </c>
      <c r="C11" s="63">
        <v>306913</v>
      </c>
      <c r="D11" s="63">
        <v>306913</v>
      </c>
      <c r="E11" s="63">
        <f>306913+56949</f>
        <v>363862</v>
      </c>
      <c r="F11" s="63">
        <v>306913</v>
      </c>
      <c r="G11" s="63">
        <f>306913+798482</f>
        <v>1105395</v>
      </c>
      <c r="H11" s="63">
        <v>306913</v>
      </c>
      <c r="I11" s="63">
        <v>358065</v>
      </c>
      <c r="J11" s="63">
        <v>664979</v>
      </c>
      <c r="K11" s="63">
        <v>358065</v>
      </c>
      <c r="L11" s="63">
        <v>511522</v>
      </c>
      <c r="M11" s="63">
        <v>613829</v>
      </c>
      <c r="N11" s="52">
        <f t="shared" si="0"/>
        <v>5970652</v>
      </c>
      <c r="O11" s="43">
        <v>5115221</v>
      </c>
    </row>
    <row r="12" spans="1:15" ht="14.25" customHeight="1">
      <c r="A12" s="9" t="s">
        <v>44</v>
      </c>
      <c r="B12" s="63">
        <v>643875</v>
      </c>
      <c r="C12" s="63">
        <v>643875</v>
      </c>
      <c r="D12" s="63">
        <v>643875</v>
      </c>
      <c r="E12" s="63">
        <f>643875+13839</f>
        <v>657714</v>
      </c>
      <c r="F12" s="63">
        <v>827839</v>
      </c>
      <c r="G12" s="63">
        <f>827839+7056</f>
        <v>834895</v>
      </c>
      <c r="H12" s="63">
        <v>551892</v>
      </c>
      <c r="I12" s="63">
        <v>551892</v>
      </c>
      <c r="J12" s="63">
        <v>551892</v>
      </c>
      <c r="K12" s="63">
        <v>735857</v>
      </c>
      <c r="L12" s="63">
        <v>735857</v>
      </c>
      <c r="M12" s="63">
        <v>1839640</v>
      </c>
      <c r="N12" s="52">
        <f t="shared" si="0"/>
        <v>9219103</v>
      </c>
      <c r="O12" s="43">
        <v>9198208</v>
      </c>
    </row>
    <row r="13" spans="1:15" ht="14.25" customHeight="1">
      <c r="A13" s="9" t="s">
        <v>59</v>
      </c>
      <c r="B13" s="63">
        <v>47918</v>
      </c>
      <c r="C13" s="63">
        <v>47918</v>
      </c>
      <c r="D13" s="63">
        <v>47918</v>
      </c>
      <c r="E13" s="63">
        <f>47918+2300</f>
        <v>50218</v>
      </c>
      <c r="F13" s="63">
        <v>68455</v>
      </c>
      <c r="G13" s="63">
        <f>68455+54207</f>
        <v>122662</v>
      </c>
      <c r="H13" s="63">
        <v>54764</v>
      </c>
      <c r="I13" s="63">
        <v>54764</v>
      </c>
      <c r="J13" s="63">
        <v>54764</v>
      </c>
      <c r="K13" s="63">
        <v>54764</v>
      </c>
      <c r="L13" s="63">
        <v>54764</v>
      </c>
      <c r="M13" s="63">
        <v>82147</v>
      </c>
      <c r="N13" s="52">
        <f t="shared" si="0"/>
        <v>741056</v>
      </c>
      <c r="O13" s="43">
        <v>684549</v>
      </c>
    </row>
    <row r="14" spans="1:15" ht="14.25" customHeight="1">
      <c r="A14" s="9" t="s">
        <v>61</v>
      </c>
      <c r="B14" s="63">
        <v>0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52">
        <f t="shared" si="0"/>
        <v>0</v>
      </c>
      <c r="O14" s="43">
        <v>0</v>
      </c>
    </row>
    <row r="15" spans="1:15" ht="14.25" customHeight="1">
      <c r="A15" s="12" t="s">
        <v>40</v>
      </c>
      <c r="B15" s="63">
        <v>446</v>
      </c>
      <c r="C15" s="63">
        <v>446</v>
      </c>
      <c r="D15" s="63">
        <v>446</v>
      </c>
      <c r="E15" s="63">
        <v>446</v>
      </c>
      <c r="F15" s="63">
        <v>446</v>
      </c>
      <c r="G15" s="63">
        <v>446</v>
      </c>
      <c r="H15" s="63">
        <v>446</v>
      </c>
      <c r="I15" s="63">
        <v>446</v>
      </c>
      <c r="J15" s="63">
        <v>25094</v>
      </c>
      <c r="K15" s="63">
        <v>446</v>
      </c>
      <c r="L15" s="63">
        <v>446</v>
      </c>
      <c r="M15" s="63">
        <v>446</v>
      </c>
      <c r="N15" s="52">
        <f t="shared" si="0"/>
        <v>30000</v>
      </c>
      <c r="O15" s="43">
        <v>30000</v>
      </c>
    </row>
    <row r="16" spans="1:15" ht="14.25" customHeight="1">
      <c r="A16" s="12" t="s">
        <v>62</v>
      </c>
      <c r="B16" s="63">
        <v>59028</v>
      </c>
      <c r="C16" s="63">
        <v>59028</v>
      </c>
      <c r="D16" s="63">
        <v>59028</v>
      </c>
      <c r="E16" s="63">
        <f>59028+20000</f>
        <v>79028</v>
      </c>
      <c r="F16" s="63">
        <v>4541</v>
      </c>
      <c r="G16" s="63">
        <f>108974+671220</f>
        <v>780194</v>
      </c>
      <c r="H16" s="63">
        <v>4541</v>
      </c>
      <c r="I16" s="63">
        <v>4541</v>
      </c>
      <c r="J16" s="63">
        <v>81730</v>
      </c>
      <c r="K16" s="63">
        <v>4541</v>
      </c>
      <c r="L16" s="63">
        <v>4541</v>
      </c>
      <c r="M16" s="63">
        <v>4537</v>
      </c>
      <c r="N16" s="52">
        <f t="shared" si="0"/>
        <v>1145278</v>
      </c>
      <c r="O16" s="43">
        <v>454058</v>
      </c>
    </row>
    <row r="17" spans="1:15" ht="14.25" customHeight="1">
      <c r="A17" s="12" t="s">
        <v>63</v>
      </c>
      <c r="B17" s="63">
        <v>1090477</v>
      </c>
      <c r="C17" s="63">
        <v>1090477</v>
      </c>
      <c r="D17" s="63">
        <v>1090477</v>
      </c>
      <c r="E17" s="63">
        <v>1090477</v>
      </c>
      <c r="F17" s="63">
        <v>396537</v>
      </c>
      <c r="G17" s="63">
        <f>1982685+140392</f>
        <v>2123077</v>
      </c>
      <c r="H17" s="63">
        <v>297403</v>
      </c>
      <c r="I17" s="63">
        <v>297403</v>
      </c>
      <c r="J17" s="63">
        <v>1982685</v>
      </c>
      <c r="K17" s="63">
        <v>198269</v>
      </c>
      <c r="L17" s="63">
        <v>297403</v>
      </c>
      <c r="M17" s="63">
        <v>99132</v>
      </c>
      <c r="N17" s="52">
        <f t="shared" si="0"/>
        <v>10053817</v>
      </c>
      <c r="O17" s="43">
        <v>9913425</v>
      </c>
    </row>
    <row r="18" spans="1:15" ht="14.25" customHeight="1">
      <c r="A18" s="12" t="s">
        <v>48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52">
        <f t="shared" si="0"/>
        <v>0</v>
      </c>
      <c r="O18" s="43">
        <v>0</v>
      </c>
    </row>
    <row r="19" spans="1:15" ht="14.25" customHeight="1">
      <c r="A19" s="12" t="s">
        <v>49</v>
      </c>
      <c r="B19" s="63">
        <v>0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52">
        <f t="shared" si="0"/>
        <v>0</v>
      </c>
      <c r="O19" s="43">
        <v>0</v>
      </c>
    </row>
    <row r="20" spans="1:15" ht="14.25" customHeight="1" thickBot="1">
      <c r="A20" s="50" t="s">
        <v>26</v>
      </c>
      <c r="B20" s="51">
        <v>-850794</v>
      </c>
      <c r="C20" s="51">
        <v>-425397</v>
      </c>
      <c r="D20" s="51">
        <v>-425397</v>
      </c>
      <c r="E20" s="51">
        <f>-425397-54647-4620</f>
        <v>-484664</v>
      </c>
      <c r="F20" s="51">
        <v>-425397</v>
      </c>
      <c r="G20" s="51">
        <v>-425397</v>
      </c>
      <c r="H20" s="51">
        <v>-425397</v>
      </c>
      <c r="I20" s="51">
        <v>-425397</v>
      </c>
      <c r="J20" s="51">
        <v>-607710</v>
      </c>
      <c r="K20" s="51">
        <v>-425397</v>
      </c>
      <c r="L20" s="51">
        <v>-607710</v>
      </c>
      <c r="M20" s="51">
        <v>-607708</v>
      </c>
      <c r="N20" s="52">
        <f t="shared" si="0"/>
        <v>-6136365</v>
      </c>
      <c r="O20" s="43">
        <v>-6077098</v>
      </c>
    </row>
    <row r="21" spans="1:15" ht="13.5" thickBot="1">
      <c r="A21" s="19" t="s">
        <v>27</v>
      </c>
      <c r="B21" s="61">
        <f aca="true" t="shared" si="1" ref="B21:O21">SUM(B5:B20)</f>
        <v>3300537</v>
      </c>
      <c r="C21" s="61">
        <f t="shared" si="1"/>
        <v>2615167</v>
      </c>
      <c r="D21" s="61">
        <f t="shared" si="1"/>
        <v>2626167</v>
      </c>
      <c r="E21" s="61">
        <f t="shared" si="1"/>
        <v>2717255</v>
      </c>
      <c r="F21" s="61">
        <f t="shared" si="1"/>
        <v>2082241</v>
      </c>
      <c r="G21" s="61">
        <f t="shared" si="1"/>
        <v>5479668</v>
      </c>
      <c r="H21" s="61">
        <f t="shared" si="1"/>
        <v>1663224</v>
      </c>
      <c r="I21" s="61">
        <f t="shared" si="1"/>
        <v>1712376</v>
      </c>
      <c r="J21" s="61">
        <f t="shared" si="1"/>
        <v>3808409</v>
      </c>
      <c r="K21" s="61">
        <f t="shared" si="1"/>
        <v>1797207</v>
      </c>
      <c r="L21" s="61">
        <f t="shared" si="1"/>
        <v>2049798</v>
      </c>
      <c r="M21" s="61">
        <f t="shared" si="1"/>
        <v>3038259</v>
      </c>
      <c r="N21" s="61">
        <f t="shared" si="1"/>
        <v>32890308</v>
      </c>
      <c r="O21" s="43">
        <f t="shared" si="1"/>
        <v>31065619</v>
      </c>
    </row>
    <row r="22" spans="1:14" ht="18.75">
      <c r="A22" s="49" t="s">
        <v>28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7"/>
    </row>
    <row r="23" spans="1:15" ht="14.25" customHeight="1">
      <c r="A23" s="9" t="s">
        <v>29</v>
      </c>
      <c r="B23" s="63">
        <v>1031738</v>
      </c>
      <c r="C23" s="63">
        <v>697120</v>
      </c>
      <c r="D23" s="63">
        <v>697120</v>
      </c>
      <c r="E23" s="63">
        <f>697120+42788</f>
        <v>739908</v>
      </c>
      <c r="F23" s="63">
        <v>697120</v>
      </c>
      <c r="G23" s="63">
        <f>697120+698282</f>
        <v>1395402</v>
      </c>
      <c r="H23" s="63">
        <v>697120</v>
      </c>
      <c r="I23" s="63">
        <v>697120</v>
      </c>
      <c r="J23" s="63">
        <v>697120</v>
      </c>
      <c r="K23" s="63">
        <v>697120</v>
      </c>
      <c r="L23" s="63">
        <v>697120</v>
      </c>
      <c r="M23" s="63">
        <v>697119</v>
      </c>
      <c r="N23" s="52">
        <f aca="true" t="shared" si="2" ref="N23:N37">SUM(B23:M23)</f>
        <v>9441127</v>
      </c>
      <c r="O23" s="43">
        <v>8700057</v>
      </c>
    </row>
    <row r="24" spans="1:15" ht="14.25" customHeight="1">
      <c r="A24" s="12" t="s">
        <v>30</v>
      </c>
      <c r="B24" s="63">
        <v>328398</v>
      </c>
      <c r="C24" s="63">
        <v>221890</v>
      </c>
      <c r="D24" s="63">
        <v>221890</v>
      </c>
      <c r="E24" s="63">
        <f>221890+12383</f>
        <v>234273</v>
      </c>
      <c r="F24" s="63">
        <v>221890</v>
      </c>
      <c r="G24" s="63">
        <f>221890+229268</f>
        <v>451158</v>
      </c>
      <c r="H24" s="63">
        <v>221890</v>
      </c>
      <c r="I24" s="63">
        <v>221890</v>
      </c>
      <c r="J24" s="63">
        <v>221890</v>
      </c>
      <c r="K24" s="63">
        <v>221890</v>
      </c>
      <c r="L24" s="63">
        <v>221890</v>
      </c>
      <c r="M24" s="63">
        <v>221893</v>
      </c>
      <c r="N24" s="52">
        <f t="shared" si="2"/>
        <v>3010842</v>
      </c>
      <c r="O24" s="43">
        <v>2769191</v>
      </c>
    </row>
    <row r="25" spans="1:15" ht="14.25" customHeight="1">
      <c r="A25" s="12" t="s">
        <v>50</v>
      </c>
      <c r="B25" s="63">
        <v>829390</v>
      </c>
      <c r="C25" s="63">
        <v>829390</v>
      </c>
      <c r="D25" s="63">
        <v>714916</v>
      </c>
      <c r="E25" s="63">
        <f>528949+52268</f>
        <v>581217</v>
      </c>
      <c r="F25" s="63">
        <v>457458</v>
      </c>
      <c r="G25" s="63">
        <f>325966+66064</f>
        <v>392030</v>
      </c>
      <c r="H25" s="63">
        <v>315966</v>
      </c>
      <c r="I25" s="63">
        <v>315966</v>
      </c>
      <c r="J25" s="63">
        <v>457458</v>
      </c>
      <c r="K25" s="63">
        <v>714916</v>
      </c>
      <c r="L25" s="63">
        <v>829390</v>
      </c>
      <c r="M25" s="63">
        <v>829390</v>
      </c>
      <c r="N25" s="52">
        <f t="shared" si="2"/>
        <v>7267487</v>
      </c>
      <c r="O25" s="43">
        <v>7149155</v>
      </c>
    </row>
    <row r="26" spans="1:15" ht="14.25" customHeight="1">
      <c r="A26" s="9" t="s">
        <v>51</v>
      </c>
      <c r="B26" s="63">
        <v>0</v>
      </c>
      <c r="C26" s="63">
        <v>0</v>
      </c>
      <c r="D26" s="63">
        <v>0</v>
      </c>
      <c r="E26" s="63">
        <v>1101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52">
        <f t="shared" si="2"/>
        <v>1101</v>
      </c>
      <c r="O26" s="43">
        <v>0</v>
      </c>
    </row>
    <row r="27" spans="1:15" ht="14.25" customHeight="1">
      <c r="A27" s="9" t="s">
        <v>52</v>
      </c>
      <c r="B27" s="63">
        <v>0</v>
      </c>
      <c r="C27" s="63">
        <v>0</v>
      </c>
      <c r="D27" s="63">
        <v>0</v>
      </c>
      <c r="E27" s="63">
        <f>6750+1000</f>
        <v>7750</v>
      </c>
      <c r="F27" s="63">
        <v>0</v>
      </c>
      <c r="G27" s="63">
        <v>400</v>
      </c>
      <c r="H27" s="63">
        <v>6750</v>
      </c>
      <c r="I27" s="63">
        <v>0</v>
      </c>
      <c r="J27" s="63">
        <v>0</v>
      </c>
      <c r="K27" s="63">
        <v>6750</v>
      </c>
      <c r="L27" s="63">
        <v>0</v>
      </c>
      <c r="M27" s="63">
        <v>6750</v>
      </c>
      <c r="N27" s="52">
        <f t="shared" si="2"/>
        <v>28400</v>
      </c>
      <c r="O27" s="43">
        <v>27000</v>
      </c>
    </row>
    <row r="28" spans="1:15" ht="14.25" customHeight="1">
      <c r="A28" s="9" t="s">
        <v>53</v>
      </c>
      <c r="B28" s="63">
        <v>0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52">
        <f t="shared" si="2"/>
        <v>0</v>
      </c>
      <c r="O28" s="43">
        <v>0</v>
      </c>
    </row>
    <row r="29" spans="1:15" ht="14.25" customHeight="1">
      <c r="A29" s="9" t="s">
        <v>54</v>
      </c>
      <c r="B29" s="63">
        <f>4976-4976</f>
        <v>0</v>
      </c>
      <c r="C29" s="63">
        <f>4976-4976</f>
        <v>0</v>
      </c>
      <c r="D29" s="63">
        <f>4976-4976</f>
        <v>0</v>
      </c>
      <c r="E29" s="63">
        <f>4976-2036</f>
        <v>2940</v>
      </c>
      <c r="F29" s="63">
        <v>4976</v>
      </c>
      <c r="G29" s="63">
        <f>54736+146</f>
        <v>54882</v>
      </c>
      <c r="H29" s="63">
        <v>19904</v>
      </c>
      <c r="I29" s="63">
        <v>14928</v>
      </c>
      <c r="J29" s="63">
        <v>57224</v>
      </c>
      <c r="K29" s="63">
        <v>9952</v>
      </c>
      <c r="L29" s="63">
        <v>34832</v>
      </c>
      <c r="M29" s="63">
        <v>32343</v>
      </c>
      <c r="N29" s="52">
        <f t="shared" si="2"/>
        <v>231981</v>
      </c>
      <c r="O29" s="43">
        <v>248799</v>
      </c>
    </row>
    <row r="30" spans="1:15" ht="14.25" customHeight="1">
      <c r="A30" s="9" t="s">
        <v>55</v>
      </c>
      <c r="B30" s="63">
        <v>400</v>
      </c>
      <c r="C30" s="63">
        <v>400</v>
      </c>
      <c r="D30" s="63">
        <v>120</v>
      </c>
      <c r="E30" s="63">
        <f>40+2300</f>
        <v>2340</v>
      </c>
      <c r="F30" s="63">
        <v>40</v>
      </c>
      <c r="G30" s="63">
        <v>520</v>
      </c>
      <c r="H30" s="63">
        <v>480</v>
      </c>
      <c r="I30" s="63">
        <v>80</v>
      </c>
      <c r="J30" s="63">
        <v>480</v>
      </c>
      <c r="K30" s="63">
        <v>480</v>
      </c>
      <c r="L30" s="63">
        <v>480</v>
      </c>
      <c r="M30" s="63">
        <v>480</v>
      </c>
      <c r="N30" s="52">
        <f t="shared" si="2"/>
        <v>6300</v>
      </c>
      <c r="O30" s="43">
        <v>4000</v>
      </c>
    </row>
    <row r="31" spans="1:15" ht="14.25" customHeight="1">
      <c r="A31" s="12" t="s">
        <v>33</v>
      </c>
      <c r="B31" s="63">
        <v>25435</v>
      </c>
      <c r="C31" s="63">
        <v>22891</v>
      </c>
      <c r="D31" s="63">
        <v>22891</v>
      </c>
      <c r="E31" s="63">
        <v>22891</v>
      </c>
      <c r="F31" s="63">
        <v>22891</v>
      </c>
      <c r="G31" s="63">
        <f>22891+2804</f>
        <v>25695</v>
      </c>
      <c r="H31" s="63">
        <v>20348</v>
      </c>
      <c r="I31" s="63">
        <v>20348</v>
      </c>
      <c r="J31" s="63">
        <v>20348</v>
      </c>
      <c r="K31" s="63">
        <v>20348</v>
      </c>
      <c r="L31" s="63">
        <v>20348</v>
      </c>
      <c r="M31" s="63">
        <v>12715</v>
      </c>
      <c r="N31" s="52">
        <f t="shared" si="2"/>
        <v>257149</v>
      </c>
      <c r="O31" s="43">
        <v>254345</v>
      </c>
    </row>
    <row r="32" spans="1:15" ht="14.25" customHeight="1">
      <c r="A32" s="12" t="s">
        <v>34</v>
      </c>
      <c r="B32" s="63">
        <v>2617</v>
      </c>
      <c r="C32" s="63">
        <v>2617</v>
      </c>
      <c r="D32" s="63">
        <v>2617</v>
      </c>
      <c r="E32" s="63">
        <v>2617</v>
      </c>
      <c r="F32" s="63">
        <v>2617</v>
      </c>
      <c r="G32" s="63">
        <f>10469+20752</f>
        <v>31221</v>
      </c>
      <c r="H32" s="63">
        <v>2094</v>
      </c>
      <c r="I32" s="63">
        <v>2617</v>
      </c>
      <c r="J32" s="63">
        <v>2094</v>
      </c>
      <c r="K32" s="63">
        <v>2094</v>
      </c>
      <c r="L32" s="63">
        <v>10469</v>
      </c>
      <c r="M32" s="63">
        <v>9423</v>
      </c>
      <c r="N32" s="52">
        <f t="shared" si="2"/>
        <v>73097</v>
      </c>
      <c r="O32" s="43">
        <v>52345</v>
      </c>
    </row>
    <row r="33" spans="1:15" ht="14.25" customHeight="1">
      <c r="A33" s="12" t="s">
        <v>35</v>
      </c>
      <c r="B33" s="63">
        <v>139792</v>
      </c>
      <c r="C33" s="63">
        <v>139792</v>
      </c>
      <c r="D33" s="63">
        <v>139792</v>
      </c>
      <c r="E33" s="63">
        <f>163090+104620</f>
        <v>267710</v>
      </c>
      <c r="F33" s="63">
        <v>163090</v>
      </c>
      <c r="G33" s="63">
        <f>465972+559911</f>
        <v>1025883</v>
      </c>
      <c r="H33" s="63">
        <v>232986</v>
      </c>
      <c r="I33" s="63">
        <v>139792</v>
      </c>
      <c r="J33" s="63">
        <v>232986</v>
      </c>
      <c r="K33" s="63">
        <v>139792</v>
      </c>
      <c r="L33" s="63">
        <v>139792</v>
      </c>
      <c r="M33" s="63">
        <v>232984</v>
      </c>
      <c r="N33" s="52">
        <f t="shared" si="2"/>
        <v>2994391</v>
      </c>
      <c r="O33" s="43">
        <v>2329860</v>
      </c>
    </row>
    <row r="34" spans="1:15" ht="14.25" customHeight="1">
      <c r="A34" s="9" t="s">
        <v>56</v>
      </c>
      <c r="B34" s="63">
        <v>0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52">
        <f t="shared" si="2"/>
        <v>0</v>
      </c>
      <c r="O34" s="43">
        <v>0</v>
      </c>
    </row>
    <row r="35" spans="1:15" ht="14.25" customHeight="1">
      <c r="A35" s="12" t="s">
        <v>37</v>
      </c>
      <c r="B35" s="63">
        <v>0</v>
      </c>
      <c r="C35" s="63">
        <v>0</v>
      </c>
      <c r="D35" s="63">
        <v>57628</v>
      </c>
      <c r="E35" s="63">
        <f>115255-106408</f>
        <v>8847</v>
      </c>
      <c r="F35" s="63">
        <v>115255</v>
      </c>
      <c r="G35" s="63">
        <f>307347+153974</f>
        <v>461321</v>
      </c>
      <c r="H35" s="63">
        <v>57628</v>
      </c>
      <c r="I35" s="63">
        <v>57628</v>
      </c>
      <c r="J35" s="63">
        <f>57628+100000</f>
        <v>157628</v>
      </c>
      <c r="K35" s="63">
        <v>38418</v>
      </c>
      <c r="L35" s="63">
        <v>76837</v>
      </c>
      <c r="M35" s="63">
        <v>76836</v>
      </c>
      <c r="N35" s="52">
        <f t="shared" si="2"/>
        <v>1108026</v>
      </c>
      <c r="O35" s="43">
        <v>9447460</v>
      </c>
    </row>
    <row r="36" spans="1:15" ht="14.25" customHeight="1">
      <c r="A36" s="9" t="s">
        <v>57</v>
      </c>
      <c r="B36" s="63">
        <v>4170</v>
      </c>
      <c r="C36" s="63">
        <v>8341</v>
      </c>
      <c r="D36" s="63">
        <v>20852</v>
      </c>
      <c r="E36" s="63">
        <v>4170</v>
      </c>
      <c r="F36" s="63">
        <v>8341</v>
      </c>
      <c r="G36" s="63">
        <v>4170</v>
      </c>
      <c r="H36" s="63">
        <v>4170</v>
      </c>
      <c r="I36" s="63">
        <v>8341</v>
      </c>
      <c r="J36" s="63">
        <v>4170</v>
      </c>
      <c r="K36" s="63">
        <v>4170</v>
      </c>
      <c r="L36" s="63">
        <v>8341</v>
      </c>
      <c r="M36" s="63">
        <v>4171</v>
      </c>
      <c r="N36" s="52">
        <f t="shared" si="2"/>
        <v>83407</v>
      </c>
      <c r="O36" s="43">
        <v>83407</v>
      </c>
    </row>
    <row r="37" spans="1:15" ht="14.25" customHeight="1" thickBot="1">
      <c r="A37" s="9" t="s">
        <v>58</v>
      </c>
      <c r="B37" s="44">
        <v>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52">
        <f t="shared" si="2"/>
        <v>0</v>
      </c>
      <c r="O37" s="43">
        <v>0</v>
      </c>
    </row>
    <row r="38" spans="1:15" ht="13.5" thickBot="1">
      <c r="A38" s="19" t="s">
        <v>38</v>
      </c>
      <c r="B38" s="62">
        <f aca="true" t="shared" si="3" ref="B38:O38">SUM(B23:B37)</f>
        <v>2361940</v>
      </c>
      <c r="C38" s="62">
        <f t="shared" si="3"/>
        <v>1922441</v>
      </c>
      <c r="D38" s="62">
        <f t="shared" si="3"/>
        <v>1877826</v>
      </c>
      <c r="E38" s="62">
        <f t="shared" si="3"/>
        <v>1875764</v>
      </c>
      <c r="F38" s="62">
        <f t="shared" si="3"/>
        <v>1693678</v>
      </c>
      <c r="G38" s="62">
        <f t="shared" si="3"/>
        <v>3842682</v>
      </c>
      <c r="H38" s="62">
        <f t="shared" si="3"/>
        <v>1579336</v>
      </c>
      <c r="I38" s="62">
        <f t="shared" si="3"/>
        <v>1478710</v>
      </c>
      <c r="J38" s="62">
        <f t="shared" si="3"/>
        <v>1851398</v>
      </c>
      <c r="K38" s="62">
        <f t="shared" si="3"/>
        <v>1855930</v>
      </c>
      <c r="L38" s="62">
        <f t="shared" si="3"/>
        <v>2039499</v>
      </c>
      <c r="M38" s="62">
        <f t="shared" si="3"/>
        <v>2124104</v>
      </c>
      <c r="N38" s="62">
        <f t="shared" si="3"/>
        <v>24503308</v>
      </c>
      <c r="O38" s="43">
        <f t="shared" si="3"/>
        <v>31065619</v>
      </c>
    </row>
    <row r="41" ht="12.75">
      <c r="O41" s="43">
        <f>9447460-8487000</f>
        <v>960460</v>
      </c>
    </row>
    <row r="42" ht="12.75">
      <c r="O42" s="43">
        <f>22578619+8487000</f>
        <v>31065619</v>
      </c>
    </row>
  </sheetData>
  <mergeCells count="2">
    <mergeCell ref="A1:N1"/>
    <mergeCell ref="M2:N2"/>
  </mergeCells>
  <printOptions horizontalCentered="1" verticalCentered="1"/>
  <pageMargins left="0.3937007874015748" right="0.3937007874015748" top="0.88" bottom="0.5905511811023623" header="0.64" footer="0.31496062992125984"/>
  <pageSetup firstPageNumber="15" useFirstPageNumber="1" horizontalDpi="600" verticalDpi="600" orientation="landscape" paperSize="9" scale="86" r:id="rId1"/>
  <headerFooter alignWithMargins="0">
    <oddHeader>&amp;R&amp;"Times New Roman CE,Normál"&amp;12A költségvetési rendelet-tervezet 9.sz. melléklete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zoomScaleSheetLayoutView="10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13" sqref="M13"/>
    </sheetView>
  </sheetViews>
  <sheetFormatPr defaultColWidth="9.00390625" defaultRowHeight="12.75"/>
  <cols>
    <col min="1" max="1" width="28.00390625" style="0" customWidth="1"/>
    <col min="2" max="2" width="13.875" style="0" bestFit="1" customWidth="1"/>
    <col min="3" max="4" width="13.125" style="0" bestFit="1" customWidth="1"/>
    <col min="5" max="6" width="9.375" style="0" customWidth="1"/>
    <col min="7" max="7" width="9.875" style="0" bestFit="1" customWidth="1"/>
    <col min="8" max="9" width="9.375" style="0" customWidth="1"/>
    <col min="10" max="10" width="9.375" style="70" customWidth="1"/>
    <col min="11" max="12" width="9.375" style="0" customWidth="1"/>
    <col min="13" max="13" width="10.75390625" style="0" customWidth="1"/>
    <col min="14" max="14" width="9.875" style="0" bestFit="1" customWidth="1"/>
    <col min="15" max="15" width="12.625" style="43" customWidth="1"/>
    <col min="16" max="16" width="11.75390625" style="0" bestFit="1" customWidth="1"/>
    <col min="17" max="17" width="12.00390625" style="0" customWidth="1"/>
    <col min="18" max="18" width="9.25390625" style="0" bestFit="1" customWidth="1"/>
  </cols>
  <sheetData>
    <row r="1" spans="1:14" ht="18.75">
      <c r="A1" s="71" t="s">
        <v>42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6.5" thickBot="1">
      <c r="A2" s="1"/>
      <c r="B2" s="1"/>
      <c r="C2" s="1"/>
      <c r="D2" s="1"/>
      <c r="E2" s="1"/>
      <c r="F2" s="1"/>
      <c r="G2" s="1"/>
      <c r="H2" s="1"/>
      <c r="I2" s="1"/>
      <c r="J2" s="64"/>
      <c r="K2" s="64"/>
      <c r="L2" s="64"/>
      <c r="M2" s="74" t="s">
        <v>0</v>
      </c>
      <c r="N2" s="74"/>
    </row>
    <row r="3" spans="1:14" ht="16.5" thickBot="1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65" t="s">
        <v>10</v>
      </c>
      <c r="K3" s="65" t="s">
        <v>11</v>
      </c>
      <c r="L3" s="65" t="s">
        <v>12</v>
      </c>
      <c r="M3" s="65" t="s">
        <v>13</v>
      </c>
      <c r="N3" s="66" t="s">
        <v>14</v>
      </c>
    </row>
    <row r="4" spans="1:14" ht="18.75">
      <c r="A4" s="46" t="s">
        <v>15</v>
      </c>
      <c r="B4" s="47"/>
      <c r="C4" s="47"/>
      <c r="D4" s="47"/>
      <c r="E4" s="47"/>
      <c r="F4" s="47"/>
      <c r="G4" s="47"/>
      <c r="H4" s="47"/>
      <c r="I4" s="47"/>
      <c r="J4" s="67"/>
      <c r="K4" s="67"/>
      <c r="L4" s="67"/>
      <c r="M4" s="67"/>
      <c r="N4" s="68"/>
    </row>
    <row r="5" spans="1:15" ht="14.25" customHeight="1">
      <c r="A5" s="9" t="s">
        <v>16</v>
      </c>
      <c r="B5" s="63">
        <v>290203</v>
      </c>
      <c r="C5" s="63">
        <v>263203</v>
      </c>
      <c r="D5" s="63">
        <v>272203</v>
      </c>
      <c r="E5" s="63">
        <v>272203</v>
      </c>
      <c r="F5" s="63">
        <v>272203</v>
      </c>
      <c r="G5" s="63">
        <f>249448+59144</f>
        <v>308592</v>
      </c>
      <c r="H5" s="63">
        <v>241958</v>
      </c>
      <c r="I5" s="63">
        <v>241958</v>
      </c>
      <c r="J5" s="63">
        <f>241958+105919</f>
        <v>347877</v>
      </c>
      <c r="K5" s="63">
        <v>241958</v>
      </c>
      <c r="L5" s="63">
        <v>241958</v>
      </c>
      <c r="M5" s="63">
        <f>195226</f>
        <v>195226</v>
      </c>
      <c r="N5" s="52">
        <f aca="true" t="shared" si="0" ref="N5:N20">SUM(B5:M5)</f>
        <v>3189542</v>
      </c>
      <c r="O5" s="44">
        <v>3024479</v>
      </c>
    </row>
    <row r="6" spans="1:15" ht="14.25" customHeight="1">
      <c r="A6" s="12" t="s">
        <v>43</v>
      </c>
      <c r="B6" s="63">
        <v>203307</v>
      </c>
      <c r="C6" s="63">
        <v>203307</v>
      </c>
      <c r="D6" s="63">
        <v>203307</v>
      </c>
      <c r="E6" s="63">
        <v>203307</v>
      </c>
      <c r="F6" s="63">
        <v>203307</v>
      </c>
      <c r="G6" s="63">
        <v>203307</v>
      </c>
      <c r="H6" s="63">
        <v>203307</v>
      </c>
      <c r="I6" s="63">
        <v>203307</v>
      </c>
      <c r="J6" s="63">
        <f>203307-60</f>
        <v>203247</v>
      </c>
      <c r="K6" s="63">
        <v>203307</v>
      </c>
      <c r="L6" s="63">
        <v>203307</v>
      </c>
      <c r="M6" s="63">
        <v>203302</v>
      </c>
      <c r="N6" s="52">
        <f t="shared" si="0"/>
        <v>2439619</v>
      </c>
      <c r="O6" s="43">
        <v>2439679</v>
      </c>
    </row>
    <row r="7" spans="1:15" ht="14.25" customHeight="1">
      <c r="A7" s="12" t="s">
        <v>17</v>
      </c>
      <c r="B7" s="63">
        <v>198000</v>
      </c>
      <c r="C7" s="63">
        <v>0</v>
      </c>
      <c r="D7" s="63">
        <v>2000</v>
      </c>
      <c r="E7" s="63">
        <v>0</v>
      </c>
      <c r="F7" s="63">
        <v>2000</v>
      </c>
      <c r="G7" s="63">
        <v>1100</v>
      </c>
      <c r="H7" s="63">
        <v>2000</v>
      </c>
      <c r="I7" s="63">
        <v>0</v>
      </c>
      <c r="J7" s="63">
        <f>2000+10950</f>
        <v>12950</v>
      </c>
      <c r="K7" s="63">
        <v>0</v>
      </c>
      <c r="L7" s="63">
        <v>0</v>
      </c>
      <c r="M7" s="63">
        <v>0</v>
      </c>
      <c r="N7" s="52">
        <f t="shared" si="0"/>
        <v>218050</v>
      </c>
      <c r="O7" s="44">
        <v>206000</v>
      </c>
    </row>
    <row r="8" spans="1:15" ht="14.25" customHeight="1">
      <c r="A8" s="12" t="s">
        <v>60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52">
        <f t="shared" si="0"/>
        <v>0</v>
      </c>
      <c r="O8" s="45">
        <v>0</v>
      </c>
    </row>
    <row r="9" spans="1:15" ht="14.25" customHeight="1">
      <c r="A9" s="12" t="s">
        <v>46</v>
      </c>
      <c r="B9" s="63">
        <v>850794</v>
      </c>
      <c r="C9" s="63">
        <v>425397</v>
      </c>
      <c r="D9" s="63">
        <v>425397</v>
      </c>
      <c r="E9" s="63">
        <f>425397+54647</f>
        <v>480044</v>
      </c>
      <c r="F9" s="63">
        <v>425397</v>
      </c>
      <c r="G9" s="63">
        <f>425397+819359</f>
        <v>1244756</v>
      </c>
      <c r="H9" s="63">
        <v>425397</v>
      </c>
      <c r="I9" s="63">
        <v>425397</v>
      </c>
      <c r="J9" s="63">
        <f>607710+481790</f>
        <v>1089500</v>
      </c>
      <c r="K9" s="63">
        <v>425397</v>
      </c>
      <c r="L9" s="63">
        <v>607710</v>
      </c>
      <c r="M9" s="63">
        <v>607708</v>
      </c>
      <c r="N9" s="52">
        <f t="shared" si="0"/>
        <v>7432894</v>
      </c>
      <c r="O9" s="43">
        <v>6077098</v>
      </c>
    </row>
    <row r="10" spans="1:15" ht="14.25" customHeight="1">
      <c r="A10" s="12" t="s">
        <v>47</v>
      </c>
      <c r="B10" s="63">
        <v>0</v>
      </c>
      <c r="C10" s="63">
        <v>0</v>
      </c>
      <c r="D10" s="63">
        <v>0</v>
      </c>
      <c r="E10" s="63">
        <v>4620</v>
      </c>
      <c r="F10" s="63">
        <v>0</v>
      </c>
      <c r="G10" s="63">
        <v>0</v>
      </c>
      <c r="H10" s="63">
        <v>0</v>
      </c>
      <c r="I10" s="63">
        <v>0</v>
      </c>
      <c r="J10" s="63">
        <f>0+68248</f>
        <v>68248</v>
      </c>
      <c r="K10" s="63">
        <v>0</v>
      </c>
      <c r="L10" s="63">
        <v>0</v>
      </c>
      <c r="M10" s="63">
        <v>0</v>
      </c>
      <c r="N10" s="52">
        <f t="shared" si="0"/>
        <v>72868</v>
      </c>
      <c r="O10" s="43">
        <v>0</v>
      </c>
    </row>
    <row r="11" spans="1:15" ht="14.25" customHeight="1">
      <c r="A11" s="12" t="s">
        <v>45</v>
      </c>
      <c r="B11" s="63">
        <v>767283</v>
      </c>
      <c r="C11" s="63">
        <v>306913</v>
      </c>
      <c r="D11" s="63">
        <v>306913</v>
      </c>
      <c r="E11" s="63">
        <f>306913+56949</f>
        <v>363862</v>
      </c>
      <c r="F11" s="63">
        <v>306913</v>
      </c>
      <c r="G11" s="63">
        <f>306913+798482</f>
        <v>1105395</v>
      </c>
      <c r="H11" s="63">
        <v>306913</v>
      </c>
      <c r="I11" s="63">
        <v>358065</v>
      </c>
      <c r="J11" s="63">
        <f>664979+384648</f>
        <v>1049627</v>
      </c>
      <c r="K11" s="63">
        <v>358065</v>
      </c>
      <c r="L11" s="63">
        <v>511522</v>
      </c>
      <c r="M11" s="63">
        <f>613829</f>
        <v>613829</v>
      </c>
      <c r="N11" s="52">
        <f t="shared" si="0"/>
        <v>6355300</v>
      </c>
      <c r="O11" s="43">
        <v>5115221</v>
      </c>
    </row>
    <row r="12" spans="1:15" ht="14.25" customHeight="1">
      <c r="A12" s="9" t="s">
        <v>44</v>
      </c>
      <c r="B12" s="63">
        <v>643875</v>
      </c>
      <c r="C12" s="63">
        <v>643875</v>
      </c>
      <c r="D12" s="63">
        <v>643875</v>
      </c>
      <c r="E12" s="63">
        <f>643875+13839</f>
        <v>657714</v>
      </c>
      <c r="F12" s="63">
        <v>827839</v>
      </c>
      <c r="G12" s="63">
        <f>827839+7056</f>
        <v>834895</v>
      </c>
      <c r="H12" s="63">
        <v>551892</v>
      </c>
      <c r="I12" s="63">
        <v>551892</v>
      </c>
      <c r="J12" s="63">
        <f>551892+113128</f>
        <v>665020</v>
      </c>
      <c r="K12" s="63">
        <v>735857</v>
      </c>
      <c r="L12" s="63">
        <v>735857</v>
      </c>
      <c r="M12" s="63">
        <f>1839640</f>
        <v>1839640</v>
      </c>
      <c r="N12" s="52">
        <f t="shared" si="0"/>
        <v>9332231</v>
      </c>
      <c r="O12" s="43">
        <v>9198208</v>
      </c>
    </row>
    <row r="13" spans="1:15" ht="14.25" customHeight="1">
      <c r="A13" s="9" t="s">
        <v>59</v>
      </c>
      <c r="B13" s="63">
        <v>47918</v>
      </c>
      <c r="C13" s="63">
        <v>47918</v>
      </c>
      <c r="D13" s="63">
        <v>47918</v>
      </c>
      <c r="E13" s="63">
        <f>47918+2300</f>
        <v>50218</v>
      </c>
      <c r="F13" s="63">
        <v>68455</v>
      </c>
      <c r="G13" s="63">
        <f>68455+54207</f>
        <v>122662</v>
      </c>
      <c r="H13" s="63">
        <v>54764</v>
      </c>
      <c r="I13" s="63">
        <v>54764</v>
      </c>
      <c r="J13" s="63">
        <f>54764+8492</f>
        <v>63256</v>
      </c>
      <c r="K13" s="63">
        <v>54764</v>
      </c>
      <c r="L13" s="63">
        <v>54764</v>
      </c>
      <c r="M13" s="63">
        <v>82147</v>
      </c>
      <c r="N13" s="52">
        <f t="shared" si="0"/>
        <v>749548</v>
      </c>
      <c r="O13" s="43">
        <v>684549</v>
      </c>
    </row>
    <row r="14" spans="1:15" ht="14.25" customHeight="1">
      <c r="A14" s="9" t="s">
        <v>61</v>
      </c>
      <c r="B14" s="63">
        <v>0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52">
        <f t="shared" si="0"/>
        <v>0</v>
      </c>
      <c r="O14" s="43">
        <v>0</v>
      </c>
    </row>
    <row r="15" spans="1:15" ht="14.25" customHeight="1">
      <c r="A15" s="12" t="s">
        <v>40</v>
      </c>
      <c r="B15" s="63">
        <v>446</v>
      </c>
      <c r="C15" s="63">
        <v>446</v>
      </c>
      <c r="D15" s="63">
        <v>446</v>
      </c>
      <c r="E15" s="63">
        <v>446</v>
      </c>
      <c r="F15" s="63">
        <v>446</v>
      </c>
      <c r="G15" s="63">
        <v>446</v>
      </c>
      <c r="H15" s="63">
        <v>446</v>
      </c>
      <c r="I15" s="63">
        <v>446</v>
      </c>
      <c r="J15" s="63">
        <v>25094</v>
      </c>
      <c r="K15" s="63">
        <v>446</v>
      </c>
      <c r="L15" s="63">
        <v>446</v>
      </c>
      <c r="M15" s="63">
        <v>446</v>
      </c>
      <c r="N15" s="52">
        <f t="shared" si="0"/>
        <v>30000</v>
      </c>
      <c r="O15" s="43">
        <v>30000</v>
      </c>
    </row>
    <row r="16" spans="1:15" ht="14.25" customHeight="1">
      <c r="A16" s="12" t="s">
        <v>62</v>
      </c>
      <c r="B16" s="63">
        <v>59028</v>
      </c>
      <c r="C16" s="63">
        <v>59028</v>
      </c>
      <c r="D16" s="63">
        <v>59028</v>
      </c>
      <c r="E16" s="63">
        <f>59028+20000</f>
        <v>79028</v>
      </c>
      <c r="F16" s="63">
        <v>4541</v>
      </c>
      <c r="G16" s="63">
        <f>108974+671220</f>
        <v>780194</v>
      </c>
      <c r="H16" s="63">
        <v>4541</v>
      </c>
      <c r="I16" s="63">
        <v>4541</v>
      </c>
      <c r="J16" s="63">
        <f>81730-210531</f>
        <v>-128801</v>
      </c>
      <c r="K16" s="63">
        <v>4541</v>
      </c>
      <c r="L16" s="63">
        <v>4541</v>
      </c>
      <c r="M16" s="63">
        <v>4537</v>
      </c>
      <c r="N16" s="52">
        <f t="shared" si="0"/>
        <v>934747</v>
      </c>
      <c r="O16" s="43">
        <v>454058</v>
      </c>
    </row>
    <row r="17" spans="1:15" ht="14.25" customHeight="1">
      <c r="A17" s="12" t="s">
        <v>63</v>
      </c>
      <c r="B17" s="63">
        <v>1090477</v>
      </c>
      <c r="C17" s="63">
        <v>1090477</v>
      </c>
      <c r="D17" s="63">
        <v>1090477</v>
      </c>
      <c r="E17" s="63">
        <v>1090477</v>
      </c>
      <c r="F17" s="63">
        <v>396537</v>
      </c>
      <c r="G17" s="63">
        <f>1982685+140392</f>
        <v>2123077</v>
      </c>
      <c r="H17" s="63">
        <v>297403</v>
      </c>
      <c r="I17" s="63">
        <v>297403</v>
      </c>
      <c r="J17" s="63">
        <f>1982685+207980</f>
        <v>2190665</v>
      </c>
      <c r="K17" s="63">
        <v>198269</v>
      </c>
      <c r="L17" s="63">
        <v>297403</v>
      </c>
      <c r="M17" s="63">
        <v>99132</v>
      </c>
      <c r="N17" s="52">
        <f t="shared" si="0"/>
        <v>10261797</v>
      </c>
      <c r="O17" s="43">
        <v>9913425</v>
      </c>
    </row>
    <row r="18" spans="1:15" ht="14.25" customHeight="1">
      <c r="A18" s="12" t="s">
        <v>48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52">
        <f t="shared" si="0"/>
        <v>0</v>
      </c>
      <c r="O18" s="43">
        <v>0</v>
      </c>
    </row>
    <row r="19" spans="1:15" ht="14.25" customHeight="1">
      <c r="A19" s="12" t="s">
        <v>49</v>
      </c>
      <c r="B19" s="63">
        <v>0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52">
        <f t="shared" si="0"/>
        <v>0</v>
      </c>
      <c r="O19" s="43">
        <v>0</v>
      </c>
    </row>
    <row r="20" spans="1:15" ht="14.25" customHeight="1" thickBot="1">
      <c r="A20" s="50" t="s">
        <v>26</v>
      </c>
      <c r="B20" s="51">
        <v>-850794</v>
      </c>
      <c r="C20" s="51">
        <v>-425397</v>
      </c>
      <c r="D20" s="51">
        <v>-425397</v>
      </c>
      <c r="E20" s="51">
        <f>-425397-54647-4620</f>
        <v>-484664</v>
      </c>
      <c r="F20" s="51">
        <v>-425397</v>
      </c>
      <c r="G20" s="51">
        <f>-425397-819359</f>
        <v>-1244756</v>
      </c>
      <c r="H20" s="51">
        <v>-425397</v>
      </c>
      <c r="I20" s="51">
        <v>-425397</v>
      </c>
      <c r="J20" s="51">
        <f>-607710-481790-68248</f>
        <v>-1157748</v>
      </c>
      <c r="K20" s="51">
        <v>-425397</v>
      </c>
      <c r="L20" s="51">
        <v>-607710</v>
      </c>
      <c r="M20" s="51">
        <v>-607708</v>
      </c>
      <c r="N20" s="52">
        <f t="shared" si="0"/>
        <v>-7505762</v>
      </c>
      <c r="O20" s="43">
        <v>-6077098</v>
      </c>
    </row>
    <row r="21" spans="1:15" ht="13.5" thickBot="1">
      <c r="A21" s="19" t="s">
        <v>27</v>
      </c>
      <c r="B21" s="61">
        <f aca="true" t="shared" si="1" ref="B21:O21">SUM(B5:B20)</f>
        <v>3300537</v>
      </c>
      <c r="C21" s="61">
        <f t="shared" si="1"/>
        <v>2615167</v>
      </c>
      <c r="D21" s="61">
        <f t="shared" si="1"/>
        <v>2626167</v>
      </c>
      <c r="E21" s="61">
        <f t="shared" si="1"/>
        <v>2717255</v>
      </c>
      <c r="F21" s="61">
        <f t="shared" si="1"/>
        <v>2082241</v>
      </c>
      <c r="G21" s="61">
        <f t="shared" si="1"/>
        <v>5479668</v>
      </c>
      <c r="H21" s="61">
        <f t="shared" si="1"/>
        <v>1663224</v>
      </c>
      <c r="I21" s="61">
        <f t="shared" si="1"/>
        <v>1712376</v>
      </c>
      <c r="J21" s="61">
        <f t="shared" si="1"/>
        <v>4428935</v>
      </c>
      <c r="K21" s="61">
        <f t="shared" si="1"/>
        <v>1797207</v>
      </c>
      <c r="L21" s="61">
        <f t="shared" si="1"/>
        <v>2049798</v>
      </c>
      <c r="M21" s="61">
        <f t="shared" si="1"/>
        <v>3038259</v>
      </c>
      <c r="N21" s="61">
        <f t="shared" si="1"/>
        <v>33510834</v>
      </c>
      <c r="O21" s="43">
        <f t="shared" si="1"/>
        <v>31065619</v>
      </c>
    </row>
    <row r="22" spans="1:14" ht="18.75">
      <c r="A22" s="49" t="s">
        <v>28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7"/>
    </row>
    <row r="23" spans="1:15" ht="14.25" customHeight="1">
      <c r="A23" s="9" t="s">
        <v>29</v>
      </c>
      <c r="B23" s="63">
        <v>1031738</v>
      </c>
      <c r="C23" s="63">
        <v>697120</v>
      </c>
      <c r="D23" s="63">
        <v>697120</v>
      </c>
      <c r="E23" s="63">
        <f>697120+42788</f>
        <v>739908</v>
      </c>
      <c r="F23" s="63">
        <v>697120</v>
      </c>
      <c r="G23" s="63">
        <f>697120+698282</f>
        <v>1395402</v>
      </c>
      <c r="H23" s="63">
        <v>697120</v>
      </c>
      <c r="I23" s="63">
        <v>697120</v>
      </c>
      <c r="J23" s="63">
        <f>697120+323087</f>
        <v>1020207</v>
      </c>
      <c r="K23" s="63">
        <v>697120</v>
      </c>
      <c r="L23" s="63">
        <v>697120</v>
      </c>
      <c r="M23" s="63">
        <v>697119</v>
      </c>
      <c r="N23" s="52">
        <f aca="true" t="shared" si="2" ref="N23:N37">SUM(B23:M23)</f>
        <v>9764214</v>
      </c>
      <c r="O23" s="43">
        <v>8700057</v>
      </c>
    </row>
    <row r="24" spans="1:15" ht="14.25" customHeight="1">
      <c r="A24" s="12" t="s">
        <v>30</v>
      </c>
      <c r="B24" s="63">
        <v>328398</v>
      </c>
      <c r="C24" s="63">
        <v>221890</v>
      </c>
      <c r="D24" s="63">
        <v>221890</v>
      </c>
      <c r="E24" s="63">
        <f>221890+12383</f>
        <v>234273</v>
      </c>
      <c r="F24" s="63">
        <v>221890</v>
      </c>
      <c r="G24" s="63">
        <f>221890+229268</f>
        <v>451158</v>
      </c>
      <c r="H24" s="63">
        <v>221890</v>
      </c>
      <c r="I24" s="63">
        <v>221890</v>
      </c>
      <c r="J24" s="63">
        <f>221890+137085</f>
        <v>358975</v>
      </c>
      <c r="K24" s="63">
        <v>221890</v>
      </c>
      <c r="L24" s="63">
        <v>221890</v>
      </c>
      <c r="M24" s="63">
        <v>221893</v>
      </c>
      <c r="N24" s="52">
        <f t="shared" si="2"/>
        <v>3147927</v>
      </c>
      <c r="O24" s="43">
        <v>2769191</v>
      </c>
    </row>
    <row r="25" spans="1:15" ht="14.25" customHeight="1">
      <c r="A25" s="12" t="s">
        <v>50</v>
      </c>
      <c r="B25" s="63">
        <v>829390</v>
      </c>
      <c r="C25" s="63">
        <v>829390</v>
      </c>
      <c r="D25" s="63">
        <v>714916</v>
      </c>
      <c r="E25" s="63">
        <f>528949+52268</f>
        <v>581217</v>
      </c>
      <c r="F25" s="63">
        <v>457458</v>
      </c>
      <c r="G25" s="63">
        <f>325966+66064</f>
        <v>392030</v>
      </c>
      <c r="H25" s="63">
        <v>315966</v>
      </c>
      <c r="I25" s="63">
        <v>315966</v>
      </c>
      <c r="J25" s="63">
        <f>457458+263226-20000</f>
        <v>700684</v>
      </c>
      <c r="K25" s="63">
        <v>714916</v>
      </c>
      <c r="L25" s="63">
        <v>829390</v>
      </c>
      <c r="M25" s="63">
        <v>829390</v>
      </c>
      <c r="N25" s="52">
        <f t="shared" si="2"/>
        <v>7510713</v>
      </c>
      <c r="O25" s="43">
        <v>7149155</v>
      </c>
    </row>
    <row r="26" spans="1:15" ht="14.25" customHeight="1">
      <c r="A26" s="9" t="s">
        <v>51</v>
      </c>
      <c r="B26" s="63">
        <v>0</v>
      </c>
      <c r="C26" s="63">
        <v>0</v>
      </c>
      <c r="D26" s="63">
        <v>0</v>
      </c>
      <c r="E26" s="63">
        <v>1101</v>
      </c>
      <c r="F26" s="63">
        <v>0</v>
      </c>
      <c r="G26" s="63">
        <v>0</v>
      </c>
      <c r="H26" s="63">
        <v>0</v>
      </c>
      <c r="I26" s="63">
        <v>0</v>
      </c>
      <c r="J26" s="63">
        <f>14253</f>
        <v>14253</v>
      </c>
      <c r="K26" s="63">
        <v>0</v>
      </c>
      <c r="L26" s="63">
        <v>0</v>
      </c>
      <c r="M26" s="63">
        <v>0</v>
      </c>
      <c r="N26" s="52">
        <f t="shared" si="2"/>
        <v>15354</v>
      </c>
      <c r="O26" s="43">
        <v>0</v>
      </c>
    </row>
    <row r="27" spans="1:15" ht="14.25" customHeight="1">
      <c r="A27" s="9" t="s">
        <v>52</v>
      </c>
      <c r="B27" s="63">
        <v>0</v>
      </c>
      <c r="C27" s="63">
        <v>0</v>
      </c>
      <c r="D27" s="63">
        <v>0</v>
      </c>
      <c r="E27" s="63">
        <f>6750+1000</f>
        <v>7750</v>
      </c>
      <c r="F27" s="63">
        <v>0</v>
      </c>
      <c r="G27" s="63">
        <v>400</v>
      </c>
      <c r="H27" s="63">
        <v>6750</v>
      </c>
      <c r="I27" s="63">
        <v>0</v>
      </c>
      <c r="J27" s="63">
        <v>0</v>
      </c>
      <c r="K27" s="63">
        <v>6750</v>
      </c>
      <c r="L27" s="63">
        <v>0</v>
      </c>
      <c r="M27" s="63">
        <v>6750</v>
      </c>
      <c r="N27" s="52">
        <f t="shared" si="2"/>
        <v>28400</v>
      </c>
      <c r="O27" s="43">
        <v>27000</v>
      </c>
    </row>
    <row r="28" spans="1:15" ht="14.25" customHeight="1">
      <c r="A28" s="9" t="s">
        <v>53</v>
      </c>
      <c r="B28" s="63">
        <v>0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52">
        <f t="shared" si="2"/>
        <v>0</v>
      </c>
      <c r="O28" s="43">
        <v>0</v>
      </c>
    </row>
    <row r="29" spans="1:15" ht="14.25" customHeight="1">
      <c r="A29" s="9" t="s">
        <v>54</v>
      </c>
      <c r="B29" s="63">
        <f>4976-4976</f>
        <v>0</v>
      </c>
      <c r="C29" s="63">
        <f>4976-4976</f>
        <v>0</v>
      </c>
      <c r="D29" s="63">
        <f>4976-4976</f>
        <v>0</v>
      </c>
      <c r="E29" s="63">
        <f>4976-2036</f>
        <v>2940</v>
      </c>
      <c r="F29" s="63">
        <v>4976</v>
      </c>
      <c r="G29" s="63">
        <f>54736+146</f>
        <v>54882</v>
      </c>
      <c r="H29" s="63">
        <v>19904</v>
      </c>
      <c r="I29" s="63">
        <v>14928</v>
      </c>
      <c r="J29" s="63">
        <f>57224+398+22600</f>
        <v>80222</v>
      </c>
      <c r="K29" s="63">
        <v>9952</v>
      </c>
      <c r="L29" s="63">
        <v>34832</v>
      </c>
      <c r="M29" s="63">
        <v>32343</v>
      </c>
      <c r="N29" s="52">
        <f t="shared" si="2"/>
        <v>254979</v>
      </c>
      <c r="O29" s="43">
        <v>248799</v>
      </c>
    </row>
    <row r="30" spans="1:15" ht="14.25" customHeight="1">
      <c r="A30" s="9" t="s">
        <v>55</v>
      </c>
      <c r="B30" s="63">
        <v>400</v>
      </c>
      <c r="C30" s="63">
        <v>400</v>
      </c>
      <c r="D30" s="63">
        <v>120</v>
      </c>
      <c r="E30" s="63">
        <f>40+2300</f>
        <v>2340</v>
      </c>
      <c r="F30" s="63">
        <v>40</v>
      </c>
      <c r="G30" s="63">
        <v>520</v>
      </c>
      <c r="H30" s="63">
        <v>480</v>
      </c>
      <c r="I30" s="63">
        <v>80</v>
      </c>
      <c r="J30" s="63">
        <f>480+25000</f>
        <v>25480</v>
      </c>
      <c r="K30" s="63">
        <v>480</v>
      </c>
      <c r="L30" s="63">
        <v>480</v>
      </c>
      <c r="M30" s="63">
        <v>480</v>
      </c>
      <c r="N30" s="52">
        <f t="shared" si="2"/>
        <v>31300</v>
      </c>
      <c r="O30" s="43">
        <v>4000</v>
      </c>
    </row>
    <row r="31" spans="1:15" ht="14.25" customHeight="1">
      <c r="A31" s="12" t="s">
        <v>33</v>
      </c>
      <c r="B31" s="63">
        <v>25435</v>
      </c>
      <c r="C31" s="63">
        <v>22891</v>
      </c>
      <c r="D31" s="63">
        <v>22891</v>
      </c>
      <c r="E31" s="63">
        <v>22891</v>
      </c>
      <c r="F31" s="63">
        <v>22891</v>
      </c>
      <c r="G31" s="63">
        <f>22891+2804</f>
        <v>25695</v>
      </c>
      <c r="H31" s="63">
        <v>20348</v>
      </c>
      <c r="I31" s="63">
        <v>20348</v>
      </c>
      <c r="J31" s="63">
        <f>20348-30000</f>
        <v>-9652</v>
      </c>
      <c r="K31" s="63">
        <v>20348</v>
      </c>
      <c r="L31" s="63">
        <v>20348</v>
      </c>
      <c r="M31" s="63">
        <v>12715</v>
      </c>
      <c r="N31" s="52">
        <f t="shared" si="2"/>
        <v>227149</v>
      </c>
      <c r="O31" s="43">
        <v>254345</v>
      </c>
    </row>
    <row r="32" spans="1:15" ht="14.25" customHeight="1">
      <c r="A32" s="12" t="s">
        <v>34</v>
      </c>
      <c r="B32" s="63">
        <v>2617</v>
      </c>
      <c r="C32" s="63">
        <v>2617</v>
      </c>
      <c r="D32" s="63">
        <v>2617</v>
      </c>
      <c r="E32" s="63">
        <v>2617</v>
      </c>
      <c r="F32" s="63">
        <v>2617</v>
      </c>
      <c r="G32" s="63">
        <f>10469+20752</f>
        <v>31221</v>
      </c>
      <c r="H32" s="63">
        <v>2094</v>
      </c>
      <c r="I32" s="63">
        <v>2617</v>
      </c>
      <c r="J32" s="63">
        <f>2094+14267</f>
        <v>16361</v>
      </c>
      <c r="K32" s="63">
        <v>2094</v>
      </c>
      <c r="L32" s="63">
        <v>10469</v>
      </c>
      <c r="M32" s="63">
        <v>9423</v>
      </c>
      <c r="N32" s="52">
        <f t="shared" si="2"/>
        <v>87364</v>
      </c>
      <c r="O32" s="43">
        <v>52345</v>
      </c>
    </row>
    <row r="33" spans="1:15" ht="14.25" customHeight="1">
      <c r="A33" s="12" t="s">
        <v>35</v>
      </c>
      <c r="B33" s="63">
        <v>139792</v>
      </c>
      <c r="C33" s="63">
        <v>139792</v>
      </c>
      <c r="D33" s="63">
        <v>139792</v>
      </c>
      <c r="E33" s="63">
        <f>163090+104620</f>
        <v>267710</v>
      </c>
      <c r="F33" s="63">
        <v>163090</v>
      </c>
      <c r="G33" s="63">
        <f>465972+559911</f>
        <v>1025883</v>
      </c>
      <c r="H33" s="63">
        <v>232986</v>
      </c>
      <c r="I33" s="63">
        <v>139792</v>
      </c>
      <c r="J33" s="63">
        <f>232986+27085+4500</f>
        <v>264571</v>
      </c>
      <c r="K33" s="63">
        <v>139792</v>
      </c>
      <c r="L33" s="63">
        <v>139792</v>
      </c>
      <c r="M33" s="63">
        <v>232984</v>
      </c>
      <c r="N33" s="52">
        <f t="shared" si="2"/>
        <v>3025976</v>
      </c>
      <c r="O33" s="43">
        <v>2329860</v>
      </c>
    </row>
    <row r="34" spans="1:15" ht="14.25" customHeight="1">
      <c r="A34" s="9" t="s">
        <v>56</v>
      </c>
      <c r="B34" s="63">
        <v>0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52">
        <f t="shared" si="2"/>
        <v>0</v>
      </c>
      <c r="O34" s="43">
        <v>0</v>
      </c>
    </row>
    <row r="35" spans="1:15" ht="14.25" customHeight="1">
      <c r="A35" s="12" t="s">
        <v>37</v>
      </c>
      <c r="B35" s="63">
        <v>0</v>
      </c>
      <c r="C35" s="63">
        <v>0</v>
      </c>
      <c r="D35" s="63">
        <v>57628</v>
      </c>
      <c r="E35" s="63">
        <f>115255-106408</f>
        <v>8847</v>
      </c>
      <c r="F35" s="63">
        <v>115255</v>
      </c>
      <c r="G35" s="63">
        <f>307347+153974</f>
        <v>461321</v>
      </c>
      <c r="H35" s="63">
        <v>57628</v>
      </c>
      <c r="I35" s="63">
        <v>57628</v>
      </c>
      <c r="J35" s="63">
        <f>57628+100000-160975</f>
        <v>-3347</v>
      </c>
      <c r="K35" s="63">
        <v>38418</v>
      </c>
      <c r="L35" s="63">
        <v>76837</v>
      </c>
      <c r="M35" s="63">
        <f>76836+8387000</f>
        <v>8463836</v>
      </c>
      <c r="N35" s="52">
        <f t="shared" si="2"/>
        <v>9334051</v>
      </c>
      <c r="O35" s="43">
        <v>9447460</v>
      </c>
    </row>
    <row r="36" spans="1:15" ht="14.25" customHeight="1">
      <c r="A36" s="9" t="s">
        <v>57</v>
      </c>
      <c r="B36" s="63">
        <v>4170</v>
      </c>
      <c r="C36" s="63">
        <v>8341</v>
      </c>
      <c r="D36" s="63">
        <v>20852</v>
      </c>
      <c r="E36" s="63">
        <v>4170</v>
      </c>
      <c r="F36" s="63">
        <v>8341</v>
      </c>
      <c r="G36" s="63">
        <v>4170</v>
      </c>
      <c r="H36" s="63">
        <v>4170</v>
      </c>
      <c r="I36" s="63">
        <v>8341</v>
      </c>
      <c r="J36" s="63">
        <v>4170</v>
      </c>
      <c r="K36" s="63">
        <v>4170</v>
      </c>
      <c r="L36" s="63">
        <v>8341</v>
      </c>
      <c r="M36" s="63">
        <v>4171</v>
      </c>
      <c r="N36" s="52">
        <f t="shared" si="2"/>
        <v>83407</v>
      </c>
      <c r="O36" s="43">
        <v>83407</v>
      </c>
    </row>
    <row r="37" spans="1:15" ht="14.25" customHeight="1" thickBot="1">
      <c r="A37" s="9" t="s">
        <v>58</v>
      </c>
      <c r="B37" s="44">
        <v>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52">
        <f t="shared" si="2"/>
        <v>0</v>
      </c>
      <c r="O37" s="43">
        <v>0</v>
      </c>
    </row>
    <row r="38" spans="1:15" ht="13.5" thickBot="1">
      <c r="A38" s="19" t="s">
        <v>38</v>
      </c>
      <c r="B38" s="62">
        <f aca="true" t="shared" si="3" ref="B38:O38">SUM(B23:B37)</f>
        <v>2361940</v>
      </c>
      <c r="C38" s="62">
        <f t="shared" si="3"/>
        <v>1922441</v>
      </c>
      <c r="D38" s="62">
        <f t="shared" si="3"/>
        <v>1877826</v>
      </c>
      <c r="E38" s="62">
        <f t="shared" si="3"/>
        <v>1875764</v>
      </c>
      <c r="F38" s="62">
        <f t="shared" si="3"/>
        <v>1693678</v>
      </c>
      <c r="G38" s="62">
        <f t="shared" si="3"/>
        <v>3842682</v>
      </c>
      <c r="H38" s="62">
        <f t="shared" si="3"/>
        <v>1579336</v>
      </c>
      <c r="I38" s="62">
        <f t="shared" si="3"/>
        <v>1478710</v>
      </c>
      <c r="J38" s="62">
        <f t="shared" si="3"/>
        <v>2471924</v>
      </c>
      <c r="K38" s="62">
        <f t="shared" si="3"/>
        <v>1855930</v>
      </c>
      <c r="L38" s="62">
        <f t="shared" si="3"/>
        <v>2039499</v>
      </c>
      <c r="M38" s="62">
        <f t="shared" si="3"/>
        <v>10511104</v>
      </c>
      <c r="N38" s="69">
        <f t="shared" si="3"/>
        <v>33510834</v>
      </c>
      <c r="O38" s="43">
        <f t="shared" si="3"/>
        <v>31065619</v>
      </c>
    </row>
    <row r="41" ht="12.75">
      <c r="O41" s="43">
        <f>9447460-8487000</f>
        <v>960460</v>
      </c>
    </row>
    <row r="42" ht="12.75">
      <c r="O42" s="43">
        <f>22578619+8487000</f>
        <v>31065619</v>
      </c>
    </row>
  </sheetData>
  <mergeCells count="2">
    <mergeCell ref="A1:N1"/>
    <mergeCell ref="M2:N2"/>
  </mergeCells>
  <printOptions horizontalCentered="1" verticalCentered="1"/>
  <pageMargins left="0.3937007874015748" right="0.3937007874015748" top="0.88" bottom="0.5905511811023623" header="0.64" footer="0.31496062992125984"/>
  <pageSetup firstPageNumber="15" useFirstPageNumber="1" horizontalDpi="600" verticalDpi="600" orientation="landscape" paperSize="9" scale="86" r:id="rId1"/>
  <headerFooter alignWithMargins="0">
    <oddHeader>&amp;R&amp;"Times New Roman CE,Normál"&amp;12A költségvetési rendelet-tervezet 9.sz. melléklete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42"/>
  <sheetViews>
    <sheetView zoomScaleSheetLayoutView="10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26" sqref="M26"/>
    </sheetView>
  </sheetViews>
  <sheetFormatPr defaultColWidth="9.00390625" defaultRowHeight="12.75"/>
  <cols>
    <col min="1" max="1" width="28.00390625" style="0" customWidth="1"/>
    <col min="2" max="2" width="13.875" style="0" bestFit="1" customWidth="1"/>
    <col min="3" max="4" width="13.125" style="0" bestFit="1" customWidth="1"/>
    <col min="5" max="6" width="9.375" style="0" customWidth="1"/>
    <col min="7" max="7" width="9.875" style="0" bestFit="1" customWidth="1"/>
    <col min="8" max="9" width="9.375" style="0" customWidth="1"/>
    <col min="10" max="10" width="9.375" style="70" customWidth="1"/>
    <col min="11" max="12" width="9.375" style="0" customWidth="1"/>
    <col min="13" max="13" width="10.75390625" style="0" customWidth="1"/>
    <col min="14" max="14" width="9.875" style="0" bestFit="1" customWidth="1"/>
    <col min="15" max="15" width="12.625" style="43" customWidth="1"/>
    <col min="16" max="16" width="11.75390625" style="0" bestFit="1" customWidth="1"/>
    <col min="17" max="17" width="12.00390625" style="0" customWidth="1"/>
    <col min="18" max="18" width="9.25390625" style="0" bestFit="1" customWidth="1"/>
  </cols>
  <sheetData>
    <row r="1" spans="1:14" ht="18.75">
      <c r="A1" s="71" t="s">
        <v>42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6.5" thickBot="1">
      <c r="A2" s="1"/>
      <c r="B2" s="1"/>
      <c r="C2" s="1"/>
      <c r="D2" s="1"/>
      <c r="E2" s="1"/>
      <c r="F2" s="1"/>
      <c r="G2" s="1"/>
      <c r="H2" s="1"/>
      <c r="I2" s="1"/>
      <c r="J2" s="64"/>
      <c r="K2" s="64"/>
      <c r="L2" s="64"/>
      <c r="M2" s="74" t="s">
        <v>0</v>
      </c>
      <c r="N2" s="74"/>
    </row>
    <row r="3" spans="1:14" ht="16.5" thickBot="1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65" t="s">
        <v>10</v>
      </c>
      <c r="K3" s="65" t="s">
        <v>11</v>
      </c>
      <c r="L3" s="65" t="s">
        <v>12</v>
      </c>
      <c r="M3" s="65" t="s">
        <v>13</v>
      </c>
      <c r="N3" s="66" t="s">
        <v>14</v>
      </c>
    </row>
    <row r="4" spans="1:14" ht="18.75">
      <c r="A4" s="46" t="s">
        <v>15</v>
      </c>
      <c r="B4" s="47"/>
      <c r="C4" s="47"/>
      <c r="D4" s="47"/>
      <c r="E4" s="47"/>
      <c r="F4" s="47"/>
      <c r="G4" s="47"/>
      <c r="H4" s="47"/>
      <c r="I4" s="47"/>
      <c r="J4" s="67"/>
      <c r="K4" s="67"/>
      <c r="L4" s="67"/>
      <c r="M4" s="67"/>
      <c r="N4" s="68"/>
    </row>
    <row r="5" spans="1:15" ht="14.25" customHeight="1">
      <c r="A5" s="9" t="s">
        <v>16</v>
      </c>
      <c r="B5" s="63">
        <v>290203</v>
      </c>
      <c r="C5" s="63">
        <v>263203</v>
      </c>
      <c r="D5" s="63">
        <v>272203</v>
      </c>
      <c r="E5" s="63">
        <v>272203</v>
      </c>
      <c r="F5" s="63">
        <v>272203</v>
      </c>
      <c r="G5" s="63">
        <f>249448+59144</f>
        <v>308592</v>
      </c>
      <c r="H5" s="63">
        <v>241958</v>
      </c>
      <c r="I5" s="63">
        <v>241958</v>
      </c>
      <c r="J5" s="63">
        <f>241958+105919</f>
        <v>347877</v>
      </c>
      <c r="K5" s="63">
        <v>241958</v>
      </c>
      <c r="L5" s="63">
        <v>241958</v>
      </c>
      <c r="M5" s="63">
        <f>195226+75949</f>
        <v>271175</v>
      </c>
      <c r="N5" s="52">
        <f aca="true" t="shared" si="0" ref="N5:N20">SUM(B5:M5)</f>
        <v>3265491</v>
      </c>
      <c r="O5" s="44">
        <v>3024479</v>
      </c>
    </row>
    <row r="6" spans="1:15" ht="14.25" customHeight="1">
      <c r="A6" s="12" t="s">
        <v>43</v>
      </c>
      <c r="B6" s="63">
        <v>203307</v>
      </c>
      <c r="C6" s="63">
        <v>203307</v>
      </c>
      <c r="D6" s="63">
        <v>203307</v>
      </c>
      <c r="E6" s="63">
        <v>203307</v>
      </c>
      <c r="F6" s="63">
        <v>203307</v>
      </c>
      <c r="G6" s="63">
        <v>203307</v>
      </c>
      <c r="H6" s="63">
        <v>203307</v>
      </c>
      <c r="I6" s="63">
        <v>203307</v>
      </c>
      <c r="J6" s="63">
        <f>203307-60</f>
        <v>203247</v>
      </c>
      <c r="K6" s="63">
        <v>203307</v>
      </c>
      <c r="L6" s="63">
        <v>203307</v>
      </c>
      <c r="M6" s="63">
        <v>203302</v>
      </c>
      <c r="N6" s="52">
        <f t="shared" si="0"/>
        <v>2439619</v>
      </c>
      <c r="O6" s="43">
        <v>2439679</v>
      </c>
    </row>
    <row r="7" spans="1:15" ht="14.25" customHeight="1">
      <c r="A7" s="12" t="s">
        <v>17</v>
      </c>
      <c r="B7" s="63">
        <v>198000</v>
      </c>
      <c r="C7" s="63">
        <v>0</v>
      </c>
      <c r="D7" s="63">
        <v>2000</v>
      </c>
      <c r="E7" s="63">
        <v>0</v>
      </c>
      <c r="F7" s="63">
        <v>2000</v>
      </c>
      <c r="G7" s="63">
        <v>1100</v>
      </c>
      <c r="H7" s="63">
        <v>2000</v>
      </c>
      <c r="I7" s="63">
        <v>0</v>
      </c>
      <c r="J7" s="63">
        <f>2000+10950</f>
        <v>12950</v>
      </c>
      <c r="K7" s="63">
        <v>0</v>
      </c>
      <c r="L7" s="63">
        <v>0</v>
      </c>
      <c r="M7" s="63">
        <v>25239</v>
      </c>
      <c r="N7" s="52">
        <f t="shared" si="0"/>
        <v>243289</v>
      </c>
      <c r="O7" s="44">
        <v>206000</v>
      </c>
    </row>
    <row r="8" spans="1:15" ht="14.25" customHeight="1">
      <c r="A8" s="12" t="s">
        <v>60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52">
        <f t="shared" si="0"/>
        <v>0</v>
      </c>
      <c r="O8" s="45">
        <v>0</v>
      </c>
    </row>
    <row r="9" spans="1:15" ht="14.25" customHeight="1">
      <c r="A9" s="12" t="s">
        <v>46</v>
      </c>
      <c r="B9" s="63">
        <v>850794</v>
      </c>
      <c r="C9" s="63">
        <v>425397</v>
      </c>
      <c r="D9" s="63">
        <v>425397</v>
      </c>
      <c r="E9" s="63">
        <f>425397+54647</f>
        <v>480044</v>
      </c>
      <c r="F9" s="63">
        <v>425397</v>
      </c>
      <c r="G9" s="63">
        <f>425397+819359</f>
        <v>1244756</v>
      </c>
      <c r="H9" s="63">
        <v>425397</v>
      </c>
      <c r="I9" s="63">
        <v>425397</v>
      </c>
      <c r="J9" s="63">
        <f>607710+481790</f>
        <v>1089500</v>
      </c>
      <c r="K9" s="63">
        <v>425397</v>
      </c>
      <c r="L9" s="63">
        <v>607710</v>
      </c>
      <c r="M9" s="63">
        <f>607708+290854</f>
        <v>898562</v>
      </c>
      <c r="N9" s="52">
        <f t="shared" si="0"/>
        <v>7723748</v>
      </c>
      <c r="O9" s="43">
        <v>6077098</v>
      </c>
    </row>
    <row r="10" spans="1:15" ht="14.25" customHeight="1">
      <c r="A10" s="12" t="s">
        <v>47</v>
      </c>
      <c r="B10" s="63">
        <v>0</v>
      </c>
      <c r="C10" s="63">
        <v>0</v>
      </c>
      <c r="D10" s="63">
        <v>0</v>
      </c>
      <c r="E10" s="63">
        <v>4620</v>
      </c>
      <c r="F10" s="63">
        <v>0</v>
      </c>
      <c r="G10" s="63">
        <v>0</v>
      </c>
      <c r="H10" s="63">
        <v>0</v>
      </c>
      <c r="I10" s="63">
        <v>0</v>
      </c>
      <c r="J10" s="63">
        <f>0+68248</f>
        <v>68248</v>
      </c>
      <c r="K10" s="63">
        <v>0</v>
      </c>
      <c r="L10" s="63">
        <v>0</v>
      </c>
      <c r="M10" s="63">
        <v>261877</v>
      </c>
      <c r="N10" s="52">
        <f t="shared" si="0"/>
        <v>334745</v>
      </c>
      <c r="O10" s="43">
        <v>0</v>
      </c>
    </row>
    <row r="11" spans="1:15" ht="14.25" customHeight="1">
      <c r="A11" s="12" t="s">
        <v>45</v>
      </c>
      <c r="B11" s="63">
        <v>767283</v>
      </c>
      <c r="C11" s="63">
        <v>306913</v>
      </c>
      <c r="D11" s="63">
        <v>306913</v>
      </c>
      <c r="E11" s="63">
        <f>306913+56949</f>
        <v>363862</v>
      </c>
      <c r="F11" s="63">
        <v>306913</v>
      </c>
      <c r="G11" s="63">
        <f>306913+798482</f>
        <v>1105395</v>
      </c>
      <c r="H11" s="63">
        <v>306913</v>
      </c>
      <c r="I11" s="63">
        <v>358065</v>
      </c>
      <c r="J11" s="63">
        <f>664979+384648</f>
        <v>1049627</v>
      </c>
      <c r="K11" s="63">
        <v>358065</v>
      </c>
      <c r="L11" s="63">
        <v>511522</v>
      </c>
      <c r="M11" s="63">
        <f>613829+96186</f>
        <v>710015</v>
      </c>
      <c r="N11" s="52">
        <f t="shared" si="0"/>
        <v>6451486</v>
      </c>
      <c r="O11" s="43">
        <v>5115221</v>
      </c>
    </row>
    <row r="12" spans="1:15" ht="14.25" customHeight="1">
      <c r="A12" s="9" t="s">
        <v>44</v>
      </c>
      <c r="B12" s="63">
        <v>643875</v>
      </c>
      <c r="C12" s="63">
        <v>643875</v>
      </c>
      <c r="D12" s="63">
        <v>643875</v>
      </c>
      <c r="E12" s="63">
        <f>643875+13839</f>
        <v>657714</v>
      </c>
      <c r="F12" s="63">
        <v>827839</v>
      </c>
      <c r="G12" s="63">
        <f>827839+7056</f>
        <v>834895</v>
      </c>
      <c r="H12" s="63">
        <v>551892</v>
      </c>
      <c r="I12" s="63">
        <v>551892</v>
      </c>
      <c r="J12" s="63">
        <f>551892+113128</f>
        <v>665020</v>
      </c>
      <c r="K12" s="63">
        <v>735857</v>
      </c>
      <c r="L12" s="63">
        <v>735857</v>
      </c>
      <c r="M12" s="63">
        <f>1839640+610663</f>
        <v>2450303</v>
      </c>
      <c r="N12" s="52">
        <f t="shared" si="0"/>
        <v>9942894</v>
      </c>
      <c r="O12" s="43">
        <v>9198208</v>
      </c>
    </row>
    <row r="13" spans="1:15" ht="14.25" customHeight="1">
      <c r="A13" s="9" t="s">
        <v>59</v>
      </c>
      <c r="B13" s="63">
        <v>47918</v>
      </c>
      <c r="C13" s="63">
        <v>47918</v>
      </c>
      <c r="D13" s="63">
        <v>47918</v>
      </c>
      <c r="E13" s="63">
        <f>47918+2300</f>
        <v>50218</v>
      </c>
      <c r="F13" s="63">
        <v>68455</v>
      </c>
      <c r="G13" s="63">
        <f>68455+54207</f>
        <v>122662</v>
      </c>
      <c r="H13" s="63">
        <v>54764</v>
      </c>
      <c r="I13" s="63">
        <v>54764</v>
      </c>
      <c r="J13" s="63">
        <f>54764+8492</f>
        <v>63256</v>
      </c>
      <c r="K13" s="63">
        <v>54764</v>
      </c>
      <c r="L13" s="63">
        <v>54764</v>
      </c>
      <c r="M13" s="63">
        <f>82147+4232</f>
        <v>86379</v>
      </c>
      <c r="N13" s="52">
        <f t="shared" si="0"/>
        <v>753780</v>
      </c>
      <c r="O13" s="43">
        <v>684549</v>
      </c>
    </row>
    <row r="14" spans="1:15" ht="14.25" customHeight="1">
      <c r="A14" s="9" t="s">
        <v>61</v>
      </c>
      <c r="B14" s="63">
        <v>0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52">
        <f t="shared" si="0"/>
        <v>0</v>
      </c>
      <c r="O14" s="43">
        <v>0</v>
      </c>
    </row>
    <row r="15" spans="1:15" ht="14.25" customHeight="1">
      <c r="A15" s="12" t="s">
        <v>40</v>
      </c>
      <c r="B15" s="63">
        <v>446</v>
      </c>
      <c r="C15" s="63">
        <v>446</v>
      </c>
      <c r="D15" s="63">
        <v>446</v>
      </c>
      <c r="E15" s="63">
        <v>446</v>
      </c>
      <c r="F15" s="63">
        <v>446</v>
      </c>
      <c r="G15" s="63">
        <v>446</v>
      </c>
      <c r="H15" s="63">
        <v>446</v>
      </c>
      <c r="I15" s="63">
        <v>446</v>
      </c>
      <c r="J15" s="63">
        <v>25094</v>
      </c>
      <c r="K15" s="63">
        <v>446</v>
      </c>
      <c r="L15" s="63">
        <v>446</v>
      </c>
      <c r="M15" s="63">
        <f>446+100000</f>
        <v>100446</v>
      </c>
      <c r="N15" s="52">
        <f t="shared" si="0"/>
        <v>130000</v>
      </c>
      <c r="O15" s="43">
        <v>30000</v>
      </c>
    </row>
    <row r="16" spans="1:15" ht="14.25" customHeight="1">
      <c r="A16" s="12" t="s">
        <v>62</v>
      </c>
      <c r="B16" s="63">
        <v>59028</v>
      </c>
      <c r="C16" s="63">
        <v>59028</v>
      </c>
      <c r="D16" s="63">
        <v>59028</v>
      </c>
      <c r="E16" s="63">
        <f>59028+20000</f>
        <v>79028</v>
      </c>
      <c r="F16" s="63">
        <v>4541</v>
      </c>
      <c r="G16" s="63">
        <f>108974+671220</f>
        <v>780194</v>
      </c>
      <c r="H16" s="63">
        <v>4541</v>
      </c>
      <c r="I16" s="63">
        <v>4541</v>
      </c>
      <c r="J16" s="63">
        <f>81730-210531</f>
        <v>-128801</v>
      </c>
      <c r="K16" s="63">
        <v>4541</v>
      </c>
      <c r="L16" s="63">
        <v>4541</v>
      </c>
      <c r="M16" s="63">
        <f>4537+26130</f>
        <v>30667</v>
      </c>
      <c r="N16" s="52">
        <f t="shared" si="0"/>
        <v>960877</v>
      </c>
      <c r="O16" s="43">
        <v>454058</v>
      </c>
    </row>
    <row r="17" spans="1:15" ht="14.25" customHeight="1">
      <c r="A17" s="12" t="s">
        <v>63</v>
      </c>
      <c r="B17" s="63">
        <v>1090477</v>
      </c>
      <c r="C17" s="63">
        <v>1090477</v>
      </c>
      <c r="D17" s="63">
        <v>1090477</v>
      </c>
      <c r="E17" s="63">
        <v>1090477</v>
      </c>
      <c r="F17" s="63">
        <v>396537</v>
      </c>
      <c r="G17" s="63">
        <f>1982685+140392</f>
        <v>2123077</v>
      </c>
      <c r="H17" s="63">
        <v>297403</v>
      </c>
      <c r="I17" s="63">
        <v>297403</v>
      </c>
      <c r="J17" s="63">
        <f>1982685+207980</f>
        <v>2190665</v>
      </c>
      <c r="K17" s="63">
        <v>198269</v>
      </c>
      <c r="L17" s="63">
        <v>297403</v>
      </c>
      <c r="M17" s="63">
        <f>99132+9956</f>
        <v>109088</v>
      </c>
      <c r="N17" s="52">
        <f t="shared" si="0"/>
        <v>10271753</v>
      </c>
      <c r="O17" s="43">
        <v>9913425</v>
      </c>
    </row>
    <row r="18" spans="1:15" ht="14.25" customHeight="1">
      <c r="A18" s="12" t="s">
        <v>48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52">
        <f t="shared" si="0"/>
        <v>0</v>
      </c>
      <c r="O18" s="43">
        <v>0</v>
      </c>
    </row>
    <row r="19" spans="1:15" ht="14.25" customHeight="1">
      <c r="A19" s="12" t="s">
        <v>49</v>
      </c>
      <c r="B19" s="63">
        <v>0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52">
        <f t="shared" si="0"/>
        <v>0</v>
      </c>
      <c r="O19" s="43">
        <v>0</v>
      </c>
    </row>
    <row r="20" spans="1:15" ht="14.25" customHeight="1" thickBot="1">
      <c r="A20" s="50" t="s">
        <v>26</v>
      </c>
      <c r="B20" s="51">
        <v>-850794</v>
      </c>
      <c r="C20" s="51">
        <v>-425397</v>
      </c>
      <c r="D20" s="51">
        <v>-425397</v>
      </c>
      <c r="E20" s="51">
        <f>-425397-54647-4620</f>
        <v>-484664</v>
      </c>
      <c r="F20" s="51">
        <v>-425397</v>
      </c>
      <c r="G20" s="51">
        <f>-425397-819359</f>
        <v>-1244756</v>
      </c>
      <c r="H20" s="51">
        <v>-425397</v>
      </c>
      <c r="I20" s="51">
        <v>-425397</v>
      </c>
      <c r="J20" s="51">
        <f>-607710-481790-68248</f>
        <v>-1157748</v>
      </c>
      <c r="K20" s="51">
        <v>-425397</v>
      </c>
      <c r="L20" s="51">
        <v>-607710</v>
      </c>
      <c r="M20" s="51">
        <f>-607708-290854-261877</f>
        <v>-1160439</v>
      </c>
      <c r="N20" s="52">
        <f t="shared" si="0"/>
        <v>-8058493</v>
      </c>
      <c r="O20" s="43">
        <v>-6077098</v>
      </c>
    </row>
    <row r="21" spans="1:15" ht="13.5" thickBot="1">
      <c r="A21" s="19" t="s">
        <v>27</v>
      </c>
      <c r="B21" s="61">
        <f aca="true" t="shared" si="1" ref="B21:O21">SUM(B5:B20)</f>
        <v>3300537</v>
      </c>
      <c r="C21" s="61">
        <f t="shared" si="1"/>
        <v>2615167</v>
      </c>
      <c r="D21" s="61">
        <f t="shared" si="1"/>
        <v>2626167</v>
      </c>
      <c r="E21" s="61">
        <f t="shared" si="1"/>
        <v>2717255</v>
      </c>
      <c r="F21" s="61">
        <f t="shared" si="1"/>
        <v>2082241</v>
      </c>
      <c r="G21" s="61">
        <f t="shared" si="1"/>
        <v>5479668</v>
      </c>
      <c r="H21" s="61">
        <f t="shared" si="1"/>
        <v>1663224</v>
      </c>
      <c r="I21" s="61">
        <f t="shared" si="1"/>
        <v>1712376</v>
      </c>
      <c r="J21" s="61">
        <f t="shared" si="1"/>
        <v>4428935</v>
      </c>
      <c r="K21" s="61">
        <f t="shared" si="1"/>
        <v>1797207</v>
      </c>
      <c r="L21" s="61">
        <f t="shared" si="1"/>
        <v>2049798</v>
      </c>
      <c r="M21" s="61">
        <f t="shared" si="1"/>
        <v>3986614</v>
      </c>
      <c r="N21" s="61">
        <f t="shared" si="1"/>
        <v>34459189</v>
      </c>
      <c r="O21" s="43">
        <f t="shared" si="1"/>
        <v>31065619</v>
      </c>
    </row>
    <row r="22" spans="1:14" ht="18.75">
      <c r="A22" s="49" t="s">
        <v>28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7"/>
    </row>
    <row r="23" spans="1:15" ht="14.25" customHeight="1">
      <c r="A23" s="9" t="s">
        <v>29</v>
      </c>
      <c r="B23" s="63">
        <v>1031738</v>
      </c>
      <c r="C23" s="63">
        <v>697120</v>
      </c>
      <c r="D23" s="63">
        <v>697120</v>
      </c>
      <c r="E23" s="63">
        <f>697120+42788</f>
        <v>739908</v>
      </c>
      <c r="F23" s="63">
        <v>697120</v>
      </c>
      <c r="G23" s="63">
        <f>697120+698282</f>
        <v>1395402</v>
      </c>
      <c r="H23" s="63">
        <v>697120</v>
      </c>
      <c r="I23" s="63">
        <v>697120</v>
      </c>
      <c r="J23" s="63">
        <f>697120+323087</f>
        <v>1020207</v>
      </c>
      <c r="K23" s="63">
        <v>697120</v>
      </c>
      <c r="L23" s="63">
        <v>697120</v>
      </c>
      <c r="M23" s="63">
        <f>697119+58716</f>
        <v>755835</v>
      </c>
      <c r="N23" s="52">
        <f aca="true" t="shared" si="2" ref="N23:N37">SUM(B23:M23)</f>
        <v>9822930</v>
      </c>
      <c r="O23" s="43">
        <v>8700057</v>
      </c>
    </row>
    <row r="24" spans="1:15" ht="14.25" customHeight="1">
      <c r="A24" s="12" t="s">
        <v>30</v>
      </c>
      <c r="B24" s="63">
        <v>328398</v>
      </c>
      <c r="C24" s="63">
        <v>221890</v>
      </c>
      <c r="D24" s="63">
        <v>221890</v>
      </c>
      <c r="E24" s="63">
        <f>221890+12383</f>
        <v>234273</v>
      </c>
      <c r="F24" s="63">
        <v>221890</v>
      </c>
      <c r="G24" s="63">
        <f>221890+229268</f>
        <v>451158</v>
      </c>
      <c r="H24" s="63">
        <v>221890</v>
      </c>
      <c r="I24" s="63">
        <v>221890</v>
      </c>
      <c r="J24" s="63">
        <f>221890+137085</f>
        <v>358975</v>
      </c>
      <c r="K24" s="63">
        <v>221890</v>
      </c>
      <c r="L24" s="63">
        <v>221890</v>
      </c>
      <c r="M24" s="63">
        <f>221893+8465</f>
        <v>230358</v>
      </c>
      <c r="N24" s="52">
        <f t="shared" si="2"/>
        <v>3156392</v>
      </c>
      <c r="O24" s="43">
        <v>2769191</v>
      </c>
    </row>
    <row r="25" spans="1:15" ht="14.25" customHeight="1">
      <c r="A25" s="12" t="s">
        <v>50</v>
      </c>
      <c r="B25" s="63">
        <v>829390</v>
      </c>
      <c r="C25" s="63">
        <v>829390</v>
      </c>
      <c r="D25" s="63">
        <v>714916</v>
      </c>
      <c r="E25" s="63">
        <f>528949+52268</f>
        <v>581217</v>
      </c>
      <c r="F25" s="63">
        <v>457458</v>
      </c>
      <c r="G25" s="63">
        <f>325966+66064</f>
        <v>392030</v>
      </c>
      <c r="H25" s="63">
        <v>315966</v>
      </c>
      <c r="I25" s="63">
        <v>315966</v>
      </c>
      <c r="J25" s="63">
        <f>457458+263226-20000</f>
        <v>700684</v>
      </c>
      <c r="K25" s="63">
        <v>714916</v>
      </c>
      <c r="L25" s="63">
        <v>829390</v>
      </c>
      <c r="M25" s="63">
        <f>829390+829475</f>
        <v>1658865</v>
      </c>
      <c r="N25" s="52">
        <f t="shared" si="2"/>
        <v>8340188</v>
      </c>
      <c r="O25" s="43">
        <v>7149155</v>
      </c>
    </row>
    <row r="26" spans="1:15" ht="14.25" customHeight="1">
      <c r="A26" s="9" t="s">
        <v>51</v>
      </c>
      <c r="B26" s="63">
        <v>0</v>
      </c>
      <c r="C26" s="63">
        <v>0</v>
      </c>
      <c r="D26" s="63">
        <v>0</v>
      </c>
      <c r="E26" s="63">
        <v>1101</v>
      </c>
      <c r="F26" s="63">
        <v>0</v>
      </c>
      <c r="G26" s="63">
        <v>0</v>
      </c>
      <c r="H26" s="63">
        <v>0</v>
      </c>
      <c r="I26" s="63">
        <v>0</v>
      </c>
      <c r="J26" s="63">
        <f>14253</f>
        <v>14253</v>
      </c>
      <c r="K26" s="63">
        <v>0</v>
      </c>
      <c r="L26" s="63">
        <v>0</v>
      </c>
      <c r="M26" s="63">
        <v>15199</v>
      </c>
      <c r="N26" s="52">
        <f t="shared" si="2"/>
        <v>30553</v>
      </c>
      <c r="O26" s="43">
        <v>0</v>
      </c>
    </row>
    <row r="27" spans="1:15" ht="14.25" customHeight="1">
      <c r="A27" s="9" t="s">
        <v>52</v>
      </c>
      <c r="B27" s="63">
        <v>0</v>
      </c>
      <c r="C27" s="63">
        <v>0</v>
      </c>
      <c r="D27" s="63">
        <v>0</v>
      </c>
      <c r="E27" s="63">
        <f>6750+1000</f>
        <v>7750</v>
      </c>
      <c r="F27" s="63">
        <v>0</v>
      </c>
      <c r="G27" s="63">
        <v>400</v>
      </c>
      <c r="H27" s="63">
        <v>6750</v>
      </c>
      <c r="I27" s="63">
        <v>0</v>
      </c>
      <c r="J27" s="63">
        <v>0</v>
      </c>
      <c r="K27" s="63">
        <v>6750</v>
      </c>
      <c r="L27" s="63">
        <v>0</v>
      </c>
      <c r="M27" s="63">
        <f>6750+2264</f>
        <v>9014</v>
      </c>
      <c r="N27" s="52">
        <f t="shared" si="2"/>
        <v>30664</v>
      </c>
      <c r="O27" s="43">
        <v>27000</v>
      </c>
    </row>
    <row r="28" spans="1:15" ht="14.25" customHeight="1">
      <c r="A28" s="9" t="s">
        <v>53</v>
      </c>
      <c r="B28" s="63">
        <v>0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52">
        <f t="shared" si="2"/>
        <v>0</v>
      </c>
      <c r="O28" s="43">
        <v>0</v>
      </c>
    </row>
    <row r="29" spans="1:15" ht="14.25" customHeight="1">
      <c r="A29" s="9" t="s">
        <v>54</v>
      </c>
      <c r="B29" s="63">
        <f>4976-4976</f>
        <v>0</v>
      </c>
      <c r="C29" s="63">
        <f>4976-4976</f>
        <v>0</v>
      </c>
      <c r="D29" s="63">
        <f>4976-4976</f>
        <v>0</v>
      </c>
      <c r="E29" s="63">
        <f>4976-2036</f>
        <v>2940</v>
      </c>
      <c r="F29" s="63">
        <v>4976</v>
      </c>
      <c r="G29" s="63">
        <f>54736+146</f>
        <v>54882</v>
      </c>
      <c r="H29" s="63">
        <v>19904</v>
      </c>
      <c r="I29" s="63">
        <v>14928</v>
      </c>
      <c r="J29" s="63">
        <f>57224+398+22600</f>
        <v>80222</v>
      </c>
      <c r="K29" s="63">
        <v>9952</v>
      </c>
      <c r="L29" s="63">
        <v>34832</v>
      </c>
      <c r="M29" s="63">
        <f>32343+66652</f>
        <v>98995</v>
      </c>
      <c r="N29" s="52">
        <f t="shared" si="2"/>
        <v>321631</v>
      </c>
      <c r="O29" s="43">
        <v>248799</v>
      </c>
    </row>
    <row r="30" spans="1:15" ht="14.25" customHeight="1">
      <c r="A30" s="9" t="s">
        <v>55</v>
      </c>
      <c r="B30" s="63">
        <v>400</v>
      </c>
      <c r="C30" s="63">
        <v>400</v>
      </c>
      <c r="D30" s="63">
        <v>120</v>
      </c>
      <c r="E30" s="63">
        <f>40+2300</f>
        <v>2340</v>
      </c>
      <c r="F30" s="63">
        <v>40</v>
      </c>
      <c r="G30" s="63">
        <v>520</v>
      </c>
      <c r="H30" s="63">
        <v>480</v>
      </c>
      <c r="I30" s="63">
        <v>80</v>
      </c>
      <c r="J30" s="63">
        <f>480+25000</f>
        <v>25480</v>
      </c>
      <c r="K30" s="63">
        <v>480</v>
      </c>
      <c r="L30" s="63">
        <v>480</v>
      </c>
      <c r="M30" s="63">
        <f>480+35295</f>
        <v>35775</v>
      </c>
      <c r="N30" s="52">
        <f t="shared" si="2"/>
        <v>66595</v>
      </c>
      <c r="O30" s="43">
        <v>4000</v>
      </c>
    </row>
    <row r="31" spans="1:15" ht="14.25" customHeight="1">
      <c r="A31" s="12" t="s">
        <v>33</v>
      </c>
      <c r="B31" s="63">
        <v>25435</v>
      </c>
      <c r="C31" s="63">
        <v>22891</v>
      </c>
      <c r="D31" s="63">
        <v>22891</v>
      </c>
      <c r="E31" s="63">
        <v>22891</v>
      </c>
      <c r="F31" s="63">
        <v>22891</v>
      </c>
      <c r="G31" s="63">
        <f>22891+2804</f>
        <v>25695</v>
      </c>
      <c r="H31" s="63">
        <v>20348</v>
      </c>
      <c r="I31" s="63">
        <v>20348</v>
      </c>
      <c r="J31" s="63">
        <f>20348-30000</f>
        <v>-9652</v>
      </c>
      <c r="K31" s="63">
        <v>20348</v>
      </c>
      <c r="L31" s="63">
        <v>20348</v>
      </c>
      <c r="M31" s="63">
        <f>12715-14141</f>
        <v>-1426</v>
      </c>
      <c r="N31" s="52">
        <f t="shared" si="2"/>
        <v>213008</v>
      </c>
      <c r="O31" s="43">
        <v>254345</v>
      </c>
    </row>
    <row r="32" spans="1:15" ht="14.25" customHeight="1">
      <c r="A32" s="12" t="s">
        <v>34</v>
      </c>
      <c r="B32" s="63">
        <v>2617</v>
      </c>
      <c r="C32" s="63">
        <v>2617</v>
      </c>
      <c r="D32" s="63">
        <v>2617</v>
      </c>
      <c r="E32" s="63">
        <v>2617</v>
      </c>
      <c r="F32" s="63">
        <v>2617</v>
      </c>
      <c r="G32" s="63">
        <f>10469+20752</f>
        <v>31221</v>
      </c>
      <c r="H32" s="63">
        <v>2094</v>
      </c>
      <c r="I32" s="63">
        <v>2617</v>
      </c>
      <c r="J32" s="63">
        <f>2094+14267</f>
        <v>16361</v>
      </c>
      <c r="K32" s="63">
        <v>2094</v>
      </c>
      <c r="L32" s="63">
        <v>10469</v>
      </c>
      <c r="M32" s="63">
        <f>9423+62957</f>
        <v>72380</v>
      </c>
      <c r="N32" s="52">
        <f t="shared" si="2"/>
        <v>150321</v>
      </c>
      <c r="O32" s="43">
        <v>52345</v>
      </c>
    </row>
    <row r="33" spans="1:15" ht="14.25" customHeight="1">
      <c r="A33" s="12" t="s">
        <v>35</v>
      </c>
      <c r="B33" s="63">
        <v>139792</v>
      </c>
      <c r="C33" s="63">
        <v>139792</v>
      </c>
      <c r="D33" s="63">
        <v>139792</v>
      </c>
      <c r="E33" s="63">
        <f>163090+104620</f>
        <v>267710</v>
      </c>
      <c r="F33" s="63">
        <v>163090</v>
      </c>
      <c r="G33" s="63">
        <f>465972+559911</f>
        <v>1025883</v>
      </c>
      <c r="H33" s="63">
        <v>232986</v>
      </c>
      <c r="I33" s="63">
        <v>139792</v>
      </c>
      <c r="J33" s="63">
        <f>232986+27085+4500</f>
        <v>264571</v>
      </c>
      <c r="K33" s="63">
        <v>139792</v>
      </c>
      <c r="L33" s="63">
        <v>139792</v>
      </c>
      <c r="M33" s="63">
        <f>232984+634845</f>
        <v>867829</v>
      </c>
      <c r="N33" s="52">
        <f t="shared" si="2"/>
        <v>3660821</v>
      </c>
      <c r="O33" s="43">
        <v>2329860</v>
      </c>
    </row>
    <row r="34" spans="1:15" ht="14.25" customHeight="1">
      <c r="A34" s="9" t="s">
        <v>56</v>
      </c>
      <c r="B34" s="63">
        <v>0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52">
        <f t="shared" si="2"/>
        <v>0</v>
      </c>
      <c r="O34" s="43">
        <v>0</v>
      </c>
    </row>
    <row r="35" spans="1:15" ht="14.25" customHeight="1">
      <c r="A35" s="12" t="s">
        <v>37</v>
      </c>
      <c r="B35" s="63">
        <v>0</v>
      </c>
      <c r="C35" s="63">
        <v>0</v>
      </c>
      <c r="D35" s="63">
        <v>57628</v>
      </c>
      <c r="E35" s="63">
        <f>115255-106408</f>
        <v>8847</v>
      </c>
      <c r="F35" s="63">
        <v>115255</v>
      </c>
      <c r="G35" s="63">
        <f>307347+153974</f>
        <v>461321</v>
      </c>
      <c r="H35" s="63">
        <v>57628</v>
      </c>
      <c r="I35" s="63">
        <v>57628</v>
      </c>
      <c r="J35" s="63">
        <f>57628+100000-160975</f>
        <v>-3347</v>
      </c>
      <c r="K35" s="63">
        <v>38418</v>
      </c>
      <c r="L35" s="63">
        <v>76837</v>
      </c>
      <c r="M35" s="63">
        <f>76836+8387000-751372</f>
        <v>7712464</v>
      </c>
      <c r="N35" s="52">
        <f t="shared" si="2"/>
        <v>8582679</v>
      </c>
      <c r="O35" s="43">
        <v>9447460</v>
      </c>
    </row>
    <row r="36" spans="1:15" ht="14.25" customHeight="1">
      <c r="A36" s="9" t="s">
        <v>57</v>
      </c>
      <c r="B36" s="63">
        <v>4170</v>
      </c>
      <c r="C36" s="63">
        <v>8341</v>
      </c>
      <c r="D36" s="63">
        <v>20852</v>
      </c>
      <c r="E36" s="63">
        <v>4170</v>
      </c>
      <c r="F36" s="63">
        <v>8341</v>
      </c>
      <c r="G36" s="63">
        <v>4170</v>
      </c>
      <c r="H36" s="63">
        <v>4170</v>
      </c>
      <c r="I36" s="63">
        <v>8341</v>
      </c>
      <c r="J36" s="63">
        <v>4170</v>
      </c>
      <c r="K36" s="63">
        <v>4170</v>
      </c>
      <c r="L36" s="63">
        <v>8341</v>
      </c>
      <c r="M36" s="63">
        <v>4171</v>
      </c>
      <c r="N36" s="52">
        <f t="shared" si="2"/>
        <v>83407</v>
      </c>
      <c r="O36" s="43">
        <v>83407</v>
      </c>
    </row>
    <row r="37" spans="1:15" ht="14.25" customHeight="1" thickBot="1">
      <c r="A37" s="9" t="s">
        <v>58</v>
      </c>
      <c r="B37" s="44">
        <v>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52">
        <f t="shared" si="2"/>
        <v>0</v>
      </c>
      <c r="O37" s="43">
        <v>0</v>
      </c>
    </row>
    <row r="38" spans="1:15" ht="13.5" thickBot="1">
      <c r="A38" s="19" t="s">
        <v>38</v>
      </c>
      <c r="B38" s="62">
        <f aca="true" t="shared" si="3" ref="B38:O38">SUM(B23:B37)</f>
        <v>2361940</v>
      </c>
      <c r="C38" s="62">
        <f t="shared" si="3"/>
        <v>1922441</v>
      </c>
      <c r="D38" s="62">
        <f t="shared" si="3"/>
        <v>1877826</v>
      </c>
      <c r="E38" s="62">
        <f t="shared" si="3"/>
        <v>1875764</v>
      </c>
      <c r="F38" s="62">
        <f t="shared" si="3"/>
        <v>1693678</v>
      </c>
      <c r="G38" s="62">
        <f t="shared" si="3"/>
        <v>3842682</v>
      </c>
      <c r="H38" s="62">
        <f t="shared" si="3"/>
        <v>1579336</v>
      </c>
      <c r="I38" s="62">
        <f t="shared" si="3"/>
        <v>1478710</v>
      </c>
      <c r="J38" s="62">
        <f t="shared" si="3"/>
        <v>2471924</v>
      </c>
      <c r="K38" s="62">
        <f t="shared" si="3"/>
        <v>1855930</v>
      </c>
      <c r="L38" s="62">
        <f t="shared" si="3"/>
        <v>2039499</v>
      </c>
      <c r="M38" s="62">
        <f t="shared" si="3"/>
        <v>11459459</v>
      </c>
      <c r="N38" s="69">
        <f t="shared" si="3"/>
        <v>34459189</v>
      </c>
      <c r="O38" s="43">
        <f t="shared" si="3"/>
        <v>31065619</v>
      </c>
    </row>
    <row r="41" ht="12.75">
      <c r="O41" s="43">
        <f>9447460-8487000</f>
        <v>960460</v>
      </c>
    </row>
    <row r="42" ht="12.75">
      <c r="O42" s="43">
        <f>22578619+8487000</f>
        <v>31065619</v>
      </c>
    </row>
  </sheetData>
  <mergeCells count="2">
    <mergeCell ref="A1:N1"/>
    <mergeCell ref="M2:N2"/>
  </mergeCells>
  <printOptions horizontalCentered="1" verticalCentered="1"/>
  <pageMargins left="0.3937007874015748" right="0.3937007874015748" top="0.88" bottom="0.5905511811023623" header="0.64" footer="0.31496062992125984"/>
  <pageSetup firstPageNumber="15" useFirstPageNumber="1" horizontalDpi="600" verticalDpi="600" orientation="landscape" paperSize="9" scale="86" r:id="rId1"/>
  <headerFooter alignWithMargins="0">
    <oddHeader>&amp;R&amp;"Times New Roman CE,Normál"&amp;12A költségvetési rendelet-tervezet 9.sz. melléklete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SheetLayoutView="100" workbookViewId="0" topLeftCell="A1">
      <pane xSplit="1" ySplit="3" topLeftCell="D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21" sqref="L21"/>
    </sheetView>
  </sheetViews>
  <sheetFormatPr defaultColWidth="9.00390625" defaultRowHeight="12.75"/>
  <cols>
    <col min="1" max="1" width="28.00390625" style="0" customWidth="1"/>
    <col min="2" max="2" width="13.875" style="0" bestFit="1" customWidth="1"/>
    <col min="3" max="4" width="13.125" style="0" bestFit="1" customWidth="1"/>
    <col min="5" max="6" width="9.375" style="0" customWidth="1"/>
    <col min="7" max="7" width="9.875" style="0" bestFit="1" customWidth="1"/>
    <col min="8" max="9" width="9.375" style="0" customWidth="1"/>
    <col min="10" max="10" width="9.375" style="70" customWidth="1"/>
    <col min="11" max="12" width="9.375" style="0" customWidth="1"/>
    <col min="13" max="13" width="10.75390625" style="0" customWidth="1"/>
    <col min="14" max="14" width="9.875" style="0" bestFit="1" customWidth="1"/>
    <col min="15" max="15" width="12.625" style="43" customWidth="1"/>
    <col min="16" max="16" width="11.75390625" style="0" bestFit="1" customWidth="1"/>
    <col min="17" max="17" width="12.00390625" style="0" customWidth="1"/>
    <col min="18" max="18" width="9.25390625" style="0" bestFit="1" customWidth="1"/>
  </cols>
  <sheetData>
    <row r="1" spans="1:14" ht="18.75">
      <c r="A1" s="71" t="s">
        <v>42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6.5" thickBot="1">
      <c r="A2" s="1"/>
      <c r="B2" s="1"/>
      <c r="C2" s="1"/>
      <c r="D2" s="1"/>
      <c r="E2" s="1"/>
      <c r="F2" s="1"/>
      <c r="G2" s="1"/>
      <c r="H2" s="1"/>
      <c r="I2" s="1"/>
      <c r="J2" s="64"/>
      <c r="K2" s="64"/>
      <c r="L2" s="64"/>
      <c r="M2" s="74" t="s">
        <v>0</v>
      </c>
      <c r="N2" s="74"/>
    </row>
    <row r="3" spans="1:14" ht="16.5" thickBot="1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65" t="s">
        <v>10</v>
      </c>
      <c r="K3" s="65" t="s">
        <v>11</v>
      </c>
      <c r="L3" s="65" t="s">
        <v>12</v>
      </c>
      <c r="M3" s="65" t="s">
        <v>13</v>
      </c>
      <c r="N3" s="66" t="s">
        <v>14</v>
      </c>
    </row>
    <row r="4" spans="1:14" ht="18.75">
      <c r="A4" s="46" t="s">
        <v>15</v>
      </c>
      <c r="B4" s="47"/>
      <c r="C4" s="47"/>
      <c r="D4" s="47"/>
      <c r="E4" s="47"/>
      <c r="F4" s="47"/>
      <c r="G4" s="47"/>
      <c r="H4" s="47"/>
      <c r="I4" s="47"/>
      <c r="J4" s="67"/>
      <c r="K4" s="67"/>
      <c r="L4" s="67"/>
      <c r="M4" s="67"/>
      <c r="N4" s="68"/>
    </row>
    <row r="5" spans="1:15" ht="14.25" customHeight="1">
      <c r="A5" s="9" t="s">
        <v>16</v>
      </c>
      <c r="B5" s="63">
        <v>290203</v>
      </c>
      <c r="C5" s="63">
        <v>263203</v>
      </c>
      <c r="D5" s="63">
        <v>272203</v>
      </c>
      <c r="E5" s="63">
        <v>272203</v>
      </c>
      <c r="F5" s="63">
        <v>272203</v>
      </c>
      <c r="G5" s="63">
        <f>249448+59144</f>
        <v>308592</v>
      </c>
      <c r="H5" s="63">
        <v>241958</v>
      </c>
      <c r="I5" s="63">
        <v>241958</v>
      </c>
      <c r="J5" s="63">
        <f>241958+105919</f>
        <v>347877</v>
      </c>
      <c r="K5" s="63">
        <v>241958</v>
      </c>
      <c r="L5" s="63">
        <f>241958+2002732</f>
        <v>2244690</v>
      </c>
      <c r="M5" s="63">
        <f>195226+75949</f>
        <v>271175</v>
      </c>
      <c r="N5" s="52">
        <f aca="true" t="shared" si="0" ref="N5:N20">SUM(B5:M5)</f>
        <v>5268223</v>
      </c>
      <c r="O5" s="44">
        <v>3024479</v>
      </c>
    </row>
    <row r="6" spans="1:15" ht="14.25" customHeight="1">
      <c r="A6" s="12" t="s">
        <v>43</v>
      </c>
      <c r="B6" s="63">
        <v>203307</v>
      </c>
      <c r="C6" s="63">
        <v>203307</v>
      </c>
      <c r="D6" s="63">
        <v>203307</v>
      </c>
      <c r="E6" s="63">
        <v>203307</v>
      </c>
      <c r="F6" s="63">
        <v>203307</v>
      </c>
      <c r="G6" s="63">
        <v>203307</v>
      </c>
      <c r="H6" s="63">
        <v>203307</v>
      </c>
      <c r="I6" s="63">
        <v>203307</v>
      </c>
      <c r="J6" s="63">
        <f>203307-60</f>
        <v>203247</v>
      </c>
      <c r="K6" s="63">
        <v>203307</v>
      </c>
      <c r="L6" s="63">
        <v>203307</v>
      </c>
      <c r="M6" s="63">
        <v>203302</v>
      </c>
      <c r="N6" s="52">
        <f t="shared" si="0"/>
        <v>2439619</v>
      </c>
      <c r="O6" s="43">
        <v>2439679</v>
      </c>
    </row>
    <row r="7" spans="1:15" ht="14.25" customHeight="1">
      <c r="A7" s="12" t="s">
        <v>17</v>
      </c>
      <c r="B7" s="63">
        <v>198000</v>
      </c>
      <c r="C7" s="63">
        <v>0</v>
      </c>
      <c r="D7" s="63">
        <v>2000</v>
      </c>
      <c r="E7" s="63">
        <v>0</v>
      </c>
      <c r="F7" s="63">
        <v>2000</v>
      </c>
      <c r="G7" s="63">
        <v>1100</v>
      </c>
      <c r="H7" s="63">
        <v>2000</v>
      </c>
      <c r="I7" s="63">
        <v>0</v>
      </c>
      <c r="J7" s="63">
        <f>2000+10950</f>
        <v>12950</v>
      </c>
      <c r="K7" s="63">
        <v>0</v>
      </c>
      <c r="L7" s="63">
        <v>101313</v>
      </c>
      <c r="M7" s="63">
        <v>25239</v>
      </c>
      <c r="N7" s="52">
        <f t="shared" si="0"/>
        <v>344602</v>
      </c>
      <c r="O7" s="44">
        <v>206000</v>
      </c>
    </row>
    <row r="8" spans="1:15" ht="14.25" customHeight="1">
      <c r="A8" s="12" t="s">
        <v>60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52">
        <f t="shared" si="0"/>
        <v>0</v>
      </c>
      <c r="O8" s="45">
        <v>0</v>
      </c>
    </row>
    <row r="9" spans="1:15" ht="14.25" customHeight="1">
      <c r="A9" s="12" t="s">
        <v>46</v>
      </c>
      <c r="B9" s="63">
        <v>850794</v>
      </c>
      <c r="C9" s="63">
        <v>425397</v>
      </c>
      <c r="D9" s="63">
        <v>425397</v>
      </c>
      <c r="E9" s="63">
        <f>425397+54647</f>
        <v>480044</v>
      </c>
      <c r="F9" s="63">
        <v>425397</v>
      </c>
      <c r="G9" s="63">
        <f>425397+819359</f>
        <v>1244756</v>
      </c>
      <c r="H9" s="63">
        <v>425397</v>
      </c>
      <c r="I9" s="63">
        <v>425397</v>
      </c>
      <c r="J9" s="63">
        <f>607710+481790</f>
        <v>1089500</v>
      </c>
      <c r="K9" s="63">
        <v>425397</v>
      </c>
      <c r="L9" s="63">
        <f>607710+227909</f>
        <v>835619</v>
      </c>
      <c r="M9" s="63">
        <f>607708+290854</f>
        <v>898562</v>
      </c>
      <c r="N9" s="52">
        <f t="shared" si="0"/>
        <v>7951657</v>
      </c>
      <c r="O9" s="43">
        <v>6077098</v>
      </c>
    </row>
    <row r="10" spans="1:15" ht="14.25" customHeight="1">
      <c r="A10" s="12" t="s">
        <v>47</v>
      </c>
      <c r="B10" s="63">
        <v>0</v>
      </c>
      <c r="C10" s="63">
        <v>0</v>
      </c>
      <c r="D10" s="63">
        <v>0</v>
      </c>
      <c r="E10" s="63">
        <v>4620</v>
      </c>
      <c r="F10" s="63">
        <v>0</v>
      </c>
      <c r="G10" s="63">
        <v>0</v>
      </c>
      <c r="H10" s="63">
        <v>0</v>
      </c>
      <c r="I10" s="63">
        <v>0</v>
      </c>
      <c r="J10" s="63">
        <f>0+68248</f>
        <v>68248</v>
      </c>
      <c r="K10" s="63">
        <v>0</v>
      </c>
      <c r="L10" s="63">
        <v>-29383</v>
      </c>
      <c r="M10" s="63">
        <v>261877</v>
      </c>
      <c r="N10" s="52">
        <f t="shared" si="0"/>
        <v>305362</v>
      </c>
      <c r="O10" s="43">
        <v>0</v>
      </c>
    </row>
    <row r="11" spans="1:15" ht="14.25" customHeight="1">
      <c r="A11" s="12" t="s">
        <v>45</v>
      </c>
      <c r="B11" s="63">
        <v>767283</v>
      </c>
      <c r="C11" s="63">
        <v>306913</v>
      </c>
      <c r="D11" s="63">
        <v>306913</v>
      </c>
      <c r="E11" s="63">
        <f>306913+56949</f>
        <v>363862</v>
      </c>
      <c r="F11" s="63">
        <v>306913</v>
      </c>
      <c r="G11" s="63">
        <f>306913+798482</f>
        <v>1105395</v>
      </c>
      <c r="H11" s="63">
        <v>306913</v>
      </c>
      <c r="I11" s="63">
        <v>358065</v>
      </c>
      <c r="J11" s="63">
        <f>664979+384648</f>
        <v>1049627</v>
      </c>
      <c r="K11" s="63">
        <v>358065</v>
      </c>
      <c r="L11" s="63">
        <f>511522+158318</f>
        <v>669840</v>
      </c>
      <c r="M11" s="63">
        <f>613829+96186</f>
        <v>710015</v>
      </c>
      <c r="N11" s="52">
        <f t="shared" si="0"/>
        <v>6609804</v>
      </c>
      <c r="O11" s="43">
        <v>5115221</v>
      </c>
    </row>
    <row r="12" spans="1:15" ht="14.25" customHeight="1">
      <c r="A12" s="9" t="s">
        <v>44</v>
      </c>
      <c r="B12" s="63">
        <v>643875</v>
      </c>
      <c r="C12" s="63">
        <v>643875</v>
      </c>
      <c r="D12" s="63">
        <v>643875</v>
      </c>
      <c r="E12" s="63">
        <f>643875+13839</f>
        <v>657714</v>
      </c>
      <c r="F12" s="63">
        <v>827839</v>
      </c>
      <c r="G12" s="63">
        <f>827839+7056</f>
        <v>834895</v>
      </c>
      <c r="H12" s="63">
        <v>551892</v>
      </c>
      <c r="I12" s="63">
        <v>551892</v>
      </c>
      <c r="J12" s="63">
        <f>551892+113128</f>
        <v>665020</v>
      </c>
      <c r="K12" s="63">
        <v>735857</v>
      </c>
      <c r="L12" s="63">
        <f>735857+394207</f>
        <v>1130064</v>
      </c>
      <c r="M12" s="63">
        <f>1839640+610663</f>
        <v>2450303</v>
      </c>
      <c r="N12" s="52">
        <f t="shared" si="0"/>
        <v>10337101</v>
      </c>
      <c r="O12" s="43">
        <v>9198208</v>
      </c>
    </row>
    <row r="13" spans="1:15" ht="14.25" customHeight="1">
      <c r="A13" s="9" t="s">
        <v>59</v>
      </c>
      <c r="B13" s="63">
        <v>47918</v>
      </c>
      <c r="C13" s="63">
        <v>47918</v>
      </c>
      <c r="D13" s="63">
        <v>47918</v>
      </c>
      <c r="E13" s="63">
        <f>47918+2300</f>
        <v>50218</v>
      </c>
      <c r="F13" s="63">
        <v>68455</v>
      </c>
      <c r="G13" s="63">
        <f>68455+54207</f>
        <v>122662</v>
      </c>
      <c r="H13" s="63">
        <v>54764</v>
      </c>
      <c r="I13" s="63">
        <v>54764</v>
      </c>
      <c r="J13" s="63">
        <f>54764+8492</f>
        <v>63256</v>
      </c>
      <c r="K13" s="63">
        <v>54764</v>
      </c>
      <c r="L13" s="63">
        <f>54764-61172</f>
        <v>-6408</v>
      </c>
      <c r="M13" s="63">
        <f>82147+4232</f>
        <v>86379</v>
      </c>
      <c r="N13" s="52">
        <f t="shared" si="0"/>
        <v>692608</v>
      </c>
      <c r="O13" s="43">
        <v>684549</v>
      </c>
    </row>
    <row r="14" spans="1:15" ht="14.25" customHeight="1">
      <c r="A14" s="9" t="s">
        <v>61</v>
      </c>
      <c r="B14" s="63">
        <v>0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52">
        <f t="shared" si="0"/>
        <v>0</v>
      </c>
      <c r="O14" s="43">
        <v>0</v>
      </c>
    </row>
    <row r="15" spans="1:15" ht="14.25" customHeight="1">
      <c r="A15" s="12" t="s">
        <v>40</v>
      </c>
      <c r="B15" s="63">
        <v>446</v>
      </c>
      <c r="C15" s="63">
        <v>446</v>
      </c>
      <c r="D15" s="63">
        <v>446</v>
      </c>
      <c r="E15" s="63">
        <v>446</v>
      </c>
      <c r="F15" s="63">
        <v>446</v>
      </c>
      <c r="G15" s="63">
        <v>446</v>
      </c>
      <c r="H15" s="63">
        <v>446</v>
      </c>
      <c r="I15" s="63">
        <v>446</v>
      </c>
      <c r="J15" s="63">
        <v>25094</v>
      </c>
      <c r="K15" s="63">
        <v>446</v>
      </c>
      <c r="L15" s="63">
        <f>446+42</f>
        <v>488</v>
      </c>
      <c r="M15" s="63">
        <f>446+100000</f>
        <v>100446</v>
      </c>
      <c r="N15" s="52">
        <f t="shared" si="0"/>
        <v>130042</v>
      </c>
      <c r="O15" s="43">
        <v>30000</v>
      </c>
    </row>
    <row r="16" spans="1:15" ht="14.25" customHeight="1">
      <c r="A16" s="12" t="s">
        <v>62</v>
      </c>
      <c r="B16" s="63">
        <v>59028</v>
      </c>
      <c r="C16" s="63">
        <v>59028</v>
      </c>
      <c r="D16" s="63">
        <v>59028</v>
      </c>
      <c r="E16" s="63">
        <f>59028+20000</f>
        <v>79028</v>
      </c>
      <c r="F16" s="63">
        <v>4541</v>
      </c>
      <c r="G16" s="63">
        <f>108974+671220</f>
        <v>780194</v>
      </c>
      <c r="H16" s="63">
        <v>4541</v>
      </c>
      <c r="I16" s="63">
        <v>4541</v>
      </c>
      <c r="J16" s="63">
        <f>81730-210531</f>
        <v>-128801</v>
      </c>
      <c r="K16" s="63">
        <v>4541</v>
      </c>
      <c r="L16" s="63">
        <f>4541+18088</f>
        <v>22629</v>
      </c>
      <c r="M16" s="63">
        <f>4537+26130</f>
        <v>30667</v>
      </c>
      <c r="N16" s="52">
        <f t="shared" si="0"/>
        <v>978965</v>
      </c>
      <c r="O16" s="43">
        <v>454058</v>
      </c>
    </row>
    <row r="17" spans="1:15" ht="14.25" customHeight="1">
      <c r="A17" s="12" t="s">
        <v>63</v>
      </c>
      <c r="B17" s="63">
        <v>1090477</v>
      </c>
      <c r="C17" s="63">
        <v>1090477</v>
      </c>
      <c r="D17" s="63">
        <v>1090477</v>
      </c>
      <c r="E17" s="63">
        <v>1090477</v>
      </c>
      <c r="F17" s="63">
        <v>396537</v>
      </c>
      <c r="G17" s="63">
        <f>1982685+140392</f>
        <v>2123077</v>
      </c>
      <c r="H17" s="63">
        <v>297403</v>
      </c>
      <c r="I17" s="63">
        <v>297403</v>
      </c>
      <c r="J17" s="63">
        <f>1982685+207980</f>
        <v>2190665</v>
      </c>
      <c r="K17" s="63">
        <v>198269</v>
      </c>
      <c r="L17" s="63">
        <f>297403+21670</f>
        <v>319073</v>
      </c>
      <c r="M17" s="63">
        <f>99132+9956</f>
        <v>109088</v>
      </c>
      <c r="N17" s="52">
        <f t="shared" si="0"/>
        <v>10293423</v>
      </c>
      <c r="O17" s="43">
        <v>9913425</v>
      </c>
    </row>
    <row r="18" spans="1:15" ht="14.25" customHeight="1">
      <c r="A18" s="12" t="s">
        <v>48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52">
        <f t="shared" si="0"/>
        <v>0</v>
      </c>
      <c r="O18" s="43">
        <v>0</v>
      </c>
    </row>
    <row r="19" spans="1:15" ht="14.25" customHeight="1">
      <c r="A19" s="12" t="s">
        <v>49</v>
      </c>
      <c r="B19" s="63">
        <v>0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52">
        <f t="shared" si="0"/>
        <v>0</v>
      </c>
      <c r="O19" s="43">
        <v>0</v>
      </c>
    </row>
    <row r="20" spans="1:15" ht="14.25" customHeight="1" thickBot="1">
      <c r="A20" s="50" t="s">
        <v>26</v>
      </c>
      <c r="B20" s="51">
        <v>-850794</v>
      </c>
      <c r="C20" s="51">
        <v>-425397</v>
      </c>
      <c r="D20" s="51">
        <v>-425397</v>
      </c>
      <c r="E20" s="51">
        <f>-425397-54647-4620</f>
        <v>-484664</v>
      </c>
      <c r="F20" s="51">
        <v>-425397</v>
      </c>
      <c r="G20" s="51">
        <f>-425397-819359</f>
        <v>-1244756</v>
      </c>
      <c r="H20" s="51">
        <v>-425397</v>
      </c>
      <c r="I20" s="51">
        <v>-425397</v>
      </c>
      <c r="J20" s="51">
        <f>-607710-481790-68248</f>
        <v>-1157748</v>
      </c>
      <c r="K20" s="51">
        <v>-425397</v>
      </c>
      <c r="L20" s="51">
        <f>-607710-227909+29383</f>
        <v>-806236</v>
      </c>
      <c r="M20" s="51">
        <f>-607708-290854-261877</f>
        <v>-1160439</v>
      </c>
      <c r="N20" s="52">
        <f t="shared" si="0"/>
        <v>-8257019</v>
      </c>
      <c r="O20" s="43">
        <v>-6077098</v>
      </c>
    </row>
    <row r="21" spans="1:15" ht="13.5" thickBot="1">
      <c r="A21" s="19" t="s">
        <v>27</v>
      </c>
      <c r="B21" s="61">
        <f aca="true" t="shared" si="1" ref="B21:O21">SUM(B5:B20)</f>
        <v>3300537</v>
      </c>
      <c r="C21" s="61">
        <f t="shared" si="1"/>
        <v>2615167</v>
      </c>
      <c r="D21" s="61">
        <f t="shared" si="1"/>
        <v>2626167</v>
      </c>
      <c r="E21" s="61">
        <f t="shared" si="1"/>
        <v>2717255</v>
      </c>
      <c r="F21" s="61">
        <f t="shared" si="1"/>
        <v>2082241</v>
      </c>
      <c r="G21" s="61">
        <f t="shared" si="1"/>
        <v>5479668</v>
      </c>
      <c r="H21" s="61">
        <f t="shared" si="1"/>
        <v>1663224</v>
      </c>
      <c r="I21" s="61">
        <f t="shared" si="1"/>
        <v>1712376</v>
      </c>
      <c r="J21" s="61">
        <f t="shared" si="1"/>
        <v>4428935</v>
      </c>
      <c r="K21" s="61">
        <f t="shared" si="1"/>
        <v>1797207</v>
      </c>
      <c r="L21" s="61">
        <f t="shared" si="1"/>
        <v>4684996</v>
      </c>
      <c r="M21" s="61">
        <f t="shared" si="1"/>
        <v>3986614</v>
      </c>
      <c r="N21" s="61">
        <f t="shared" si="1"/>
        <v>37094387</v>
      </c>
      <c r="O21" s="43">
        <f t="shared" si="1"/>
        <v>31065619</v>
      </c>
    </row>
    <row r="22" spans="1:14" ht="18.75">
      <c r="A22" s="49" t="s">
        <v>28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7"/>
    </row>
    <row r="23" spans="1:15" ht="14.25" customHeight="1">
      <c r="A23" s="9" t="s">
        <v>29</v>
      </c>
      <c r="B23" s="63">
        <v>1031738</v>
      </c>
      <c r="C23" s="63">
        <v>697120</v>
      </c>
      <c r="D23" s="63">
        <v>697120</v>
      </c>
      <c r="E23" s="63">
        <f>697120+42788</f>
        <v>739908</v>
      </c>
      <c r="F23" s="63">
        <v>697120</v>
      </c>
      <c r="G23" s="63">
        <f>697120+698282</f>
        <v>1395402</v>
      </c>
      <c r="H23" s="63">
        <v>697120</v>
      </c>
      <c r="I23" s="63">
        <v>697120</v>
      </c>
      <c r="J23" s="63">
        <f>697120+323087</f>
        <v>1020207</v>
      </c>
      <c r="K23" s="63">
        <v>697120</v>
      </c>
      <c r="L23" s="63">
        <f>697120+37479</f>
        <v>734599</v>
      </c>
      <c r="M23" s="63">
        <f>697119+58716</f>
        <v>755835</v>
      </c>
      <c r="N23" s="52">
        <f aca="true" t="shared" si="2" ref="N23:N37">SUM(B23:M23)</f>
        <v>9860409</v>
      </c>
      <c r="O23" s="43">
        <v>8700057</v>
      </c>
    </row>
    <row r="24" spans="1:15" ht="14.25" customHeight="1">
      <c r="A24" s="12" t="s">
        <v>30</v>
      </c>
      <c r="B24" s="63">
        <v>328398</v>
      </c>
      <c r="C24" s="63">
        <v>221890</v>
      </c>
      <c r="D24" s="63">
        <v>221890</v>
      </c>
      <c r="E24" s="63">
        <f>221890+12383</f>
        <v>234273</v>
      </c>
      <c r="F24" s="63">
        <v>221890</v>
      </c>
      <c r="G24" s="63">
        <f>221890+229268</f>
        <v>451158</v>
      </c>
      <c r="H24" s="63">
        <v>221890</v>
      </c>
      <c r="I24" s="63">
        <v>221890</v>
      </c>
      <c r="J24" s="63">
        <f>221890+137085</f>
        <v>358975</v>
      </c>
      <c r="K24" s="63">
        <v>221890</v>
      </c>
      <c r="L24" s="63">
        <f>221890+13702</f>
        <v>235592</v>
      </c>
      <c r="M24" s="63">
        <f>221893+8465</f>
        <v>230358</v>
      </c>
      <c r="N24" s="52">
        <f t="shared" si="2"/>
        <v>3170094</v>
      </c>
      <c r="O24" s="43">
        <v>2769191</v>
      </c>
    </row>
    <row r="25" spans="1:15" ht="14.25" customHeight="1">
      <c r="A25" s="12" t="s">
        <v>50</v>
      </c>
      <c r="B25" s="63">
        <v>829390</v>
      </c>
      <c r="C25" s="63">
        <v>829390</v>
      </c>
      <c r="D25" s="63">
        <v>714916</v>
      </c>
      <c r="E25" s="63">
        <f>528949+52268</f>
        <v>581217</v>
      </c>
      <c r="F25" s="63">
        <v>457458</v>
      </c>
      <c r="G25" s="63">
        <f>325966+66064</f>
        <v>392030</v>
      </c>
      <c r="H25" s="63">
        <v>315966</v>
      </c>
      <c r="I25" s="63">
        <v>315966</v>
      </c>
      <c r="J25" s="63">
        <f>457458+263226-20000</f>
        <v>700684</v>
      </c>
      <c r="K25" s="63">
        <v>714916</v>
      </c>
      <c r="L25" s="63">
        <f>829390+1615012</f>
        <v>2444402</v>
      </c>
      <c r="M25" s="63">
        <f>829390+829475</f>
        <v>1658865</v>
      </c>
      <c r="N25" s="52">
        <f t="shared" si="2"/>
        <v>9955200</v>
      </c>
      <c r="O25" s="43">
        <v>7149155</v>
      </c>
    </row>
    <row r="26" spans="1:15" ht="14.25" customHeight="1">
      <c r="A26" s="9" t="s">
        <v>51</v>
      </c>
      <c r="B26" s="63">
        <v>0</v>
      </c>
      <c r="C26" s="63">
        <v>0</v>
      </c>
      <c r="D26" s="63">
        <v>0</v>
      </c>
      <c r="E26" s="63">
        <v>1101</v>
      </c>
      <c r="F26" s="63">
        <v>0</v>
      </c>
      <c r="G26" s="63">
        <v>0</v>
      </c>
      <c r="H26" s="63">
        <v>0</v>
      </c>
      <c r="I26" s="63">
        <v>0</v>
      </c>
      <c r="J26" s="63">
        <f>14253</f>
        <v>14253</v>
      </c>
      <c r="K26" s="63">
        <v>0</v>
      </c>
      <c r="L26" s="63">
        <v>10016</v>
      </c>
      <c r="M26" s="63">
        <v>15199</v>
      </c>
      <c r="N26" s="52">
        <f t="shared" si="2"/>
        <v>40569</v>
      </c>
      <c r="O26" s="43">
        <v>0</v>
      </c>
    </row>
    <row r="27" spans="1:15" ht="14.25" customHeight="1">
      <c r="A27" s="9" t="s">
        <v>52</v>
      </c>
      <c r="B27" s="63">
        <v>0</v>
      </c>
      <c r="C27" s="63">
        <v>0</v>
      </c>
      <c r="D27" s="63">
        <v>0</v>
      </c>
      <c r="E27" s="63">
        <f>6750+1000</f>
        <v>7750</v>
      </c>
      <c r="F27" s="63">
        <v>0</v>
      </c>
      <c r="G27" s="63">
        <v>400</v>
      </c>
      <c r="H27" s="63">
        <v>6750</v>
      </c>
      <c r="I27" s="63">
        <v>0</v>
      </c>
      <c r="J27" s="63">
        <v>0</v>
      </c>
      <c r="K27" s="63">
        <v>6750</v>
      </c>
      <c r="L27" s="63">
        <v>-12000</v>
      </c>
      <c r="M27" s="63">
        <f>6750+2264</f>
        <v>9014</v>
      </c>
      <c r="N27" s="52">
        <f t="shared" si="2"/>
        <v>18664</v>
      </c>
      <c r="O27" s="43">
        <v>27000</v>
      </c>
    </row>
    <row r="28" spans="1:15" ht="14.25" customHeight="1">
      <c r="A28" s="9" t="s">
        <v>53</v>
      </c>
      <c r="B28" s="63">
        <v>0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52">
        <f t="shared" si="2"/>
        <v>0</v>
      </c>
      <c r="O28" s="43">
        <v>0</v>
      </c>
    </row>
    <row r="29" spans="1:15" ht="14.25" customHeight="1">
      <c r="A29" s="9" t="s">
        <v>54</v>
      </c>
      <c r="B29" s="63">
        <f>4976-4976</f>
        <v>0</v>
      </c>
      <c r="C29" s="63">
        <f>4976-4976</f>
        <v>0</v>
      </c>
      <c r="D29" s="63">
        <f>4976-4976</f>
        <v>0</v>
      </c>
      <c r="E29" s="63">
        <f>4976-2036</f>
        <v>2940</v>
      </c>
      <c r="F29" s="63">
        <v>4976</v>
      </c>
      <c r="G29" s="63">
        <f>54736+146</f>
        <v>54882</v>
      </c>
      <c r="H29" s="63">
        <v>19904</v>
      </c>
      <c r="I29" s="63">
        <v>14928</v>
      </c>
      <c r="J29" s="63">
        <f>57224+398+22600</f>
        <v>80222</v>
      </c>
      <c r="K29" s="63">
        <v>9952</v>
      </c>
      <c r="L29" s="63">
        <f>34832+45618</f>
        <v>80450</v>
      </c>
      <c r="M29" s="63">
        <f>32343+66652</f>
        <v>98995</v>
      </c>
      <c r="N29" s="52">
        <f t="shared" si="2"/>
        <v>367249</v>
      </c>
      <c r="O29" s="43">
        <v>248799</v>
      </c>
    </row>
    <row r="30" spans="1:15" ht="14.25" customHeight="1">
      <c r="A30" s="9" t="s">
        <v>55</v>
      </c>
      <c r="B30" s="63">
        <v>400</v>
      </c>
      <c r="C30" s="63">
        <v>400</v>
      </c>
      <c r="D30" s="63">
        <v>120</v>
      </c>
      <c r="E30" s="63">
        <f>40+2300</f>
        <v>2340</v>
      </c>
      <c r="F30" s="63">
        <v>40</v>
      </c>
      <c r="G30" s="63">
        <v>520</v>
      </c>
      <c r="H30" s="63">
        <v>480</v>
      </c>
      <c r="I30" s="63">
        <v>80</v>
      </c>
      <c r="J30" s="63">
        <f>480+25000</f>
        <v>25480</v>
      </c>
      <c r="K30" s="63">
        <v>480</v>
      </c>
      <c r="L30" s="63">
        <v>480</v>
      </c>
      <c r="M30" s="63">
        <f>480+35295</f>
        <v>35775</v>
      </c>
      <c r="N30" s="52">
        <f t="shared" si="2"/>
        <v>66595</v>
      </c>
      <c r="O30" s="43">
        <v>4000</v>
      </c>
    </row>
    <row r="31" spans="1:15" ht="14.25" customHeight="1">
      <c r="A31" s="12" t="s">
        <v>33</v>
      </c>
      <c r="B31" s="63">
        <v>25435</v>
      </c>
      <c r="C31" s="63">
        <v>22891</v>
      </c>
      <c r="D31" s="63">
        <v>22891</v>
      </c>
      <c r="E31" s="63">
        <v>22891</v>
      </c>
      <c r="F31" s="63">
        <v>22891</v>
      </c>
      <c r="G31" s="63">
        <f>22891+2804</f>
        <v>25695</v>
      </c>
      <c r="H31" s="63">
        <v>20348</v>
      </c>
      <c r="I31" s="63">
        <v>20348</v>
      </c>
      <c r="J31" s="63">
        <f>20348-30000</f>
        <v>-9652</v>
      </c>
      <c r="K31" s="63">
        <v>20348</v>
      </c>
      <c r="L31" s="63">
        <f>20348+2727</f>
        <v>23075</v>
      </c>
      <c r="M31" s="63">
        <f>12715-14141</f>
        <v>-1426</v>
      </c>
      <c r="N31" s="52">
        <f t="shared" si="2"/>
        <v>215735</v>
      </c>
      <c r="O31" s="43">
        <v>254345</v>
      </c>
    </row>
    <row r="32" spans="1:15" ht="14.25" customHeight="1">
      <c r="A32" s="12" t="s">
        <v>34</v>
      </c>
      <c r="B32" s="63">
        <v>2617</v>
      </c>
      <c r="C32" s="63">
        <v>2617</v>
      </c>
      <c r="D32" s="63">
        <v>2617</v>
      </c>
      <c r="E32" s="63">
        <v>2617</v>
      </c>
      <c r="F32" s="63">
        <v>2617</v>
      </c>
      <c r="G32" s="63">
        <f>10469+20752</f>
        <v>31221</v>
      </c>
      <c r="H32" s="63">
        <v>2094</v>
      </c>
      <c r="I32" s="63">
        <v>2617</v>
      </c>
      <c r="J32" s="63">
        <f>2094+14267</f>
        <v>16361</v>
      </c>
      <c r="K32" s="63">
        <v>2094</v>
      </c>
      <c r="L32" s="63">
        <f>10469+42363</f>
        <v>52832</v>
      </c>
      <c r="M32" s="63">
        <f>9423+62957</f>
        <v>72380</v>
      </c>
      <c r="N32" s="52">
        <f t="shared" si="2"/>
        <v>192684</v>
      </c>
      <c r="O32" s="43">
        <v>52345</v>
      </c>
    </row>
    <row r="33" spans="1:15" ht="14.25" customHeight="1">
      <c r="A33" s="12" t="s">
        <v>35</v>
      </c>
      <c r="B33" s="63">
        <v>139792</v>
      </c>
      <c r="C33" s="63">
        <v>139792</v>
      </c>
      <c r="D33" s="63">
        <v>139792</v>
      </c>
      <c r="E33" s="63">
        <f>163090+104620</f>
        <v>267710</v>
      </c>
      <c r="F33" s="63">
        <v>163090</v>
      </c>
      <c r="G33" s="63">
        <f>465972+559911</f>
        <v>1025883</v>
      </c>
      <c r="H33" s="63">
        <v>232986</v>
      </c>
      <c r="I33" s="63">
        <v>139792</v>
      </c>
      <c r="J33" s="63">
        <f>232986+27085+4500</f>
        <v>264571</v>
      </c>
      <c r="K33" s="63">
        <v>139792</v>
      </c>
      <c r="L33" s="63">
        <f>139792+373061</f>
        <v>512853</v>
      </c>
      <c r="M33" s="63">
        <f>232984+634845</f>
        <v>867829</v>
      </c>
      <c r="N33" s="52">
        <f t="shared" si="2"/>
        <v>4033882</v>
      </c>
      <c r="O33" s="43">
        <v>2329860</v>
      </c>
    </row>
    <row r="34" spans="1:15" ht="14.25" customHeight="1">
      <c r="A34" s="9" t="s">
        <v>56</v>
      </c>
      <c r="B34" s="63">
        <v>0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100042</v>
      </c>
      <c r="M34" s="63">
        <v>0</v>
      </c>
      <c r="N34" s="52">
        <f t="shared" si="2"/>
        <v>100042</v>
      </c>
      <c r="O34" s="43">
        <v>0</v>
      </c>
    </row>
    <row r="35" spans="1:15" ht="14.25" customHeight="1">
      <c r="A35" s="12" t="s">
        <v>37</v>
      </c>
      <c r="B35" s="63">
        <v>0</v>
      </c>
      <c r="C35" s="63">
        <v>0</v>
      </c>
      <c r="D35" s="63">
        <v>57628</v>
      </c>
      <c r="E35" s="63">
        <f>115255-106408</f>
        <v>8847</v>
      </c>
      <c r="F35" s="63">
        <v>115255</v>
      </c>
      <c r="G35" s="63">
        <f>307347+153974</f>
        <v>461321</v>
      </c>
      <c r="H35" s="63">
        <v>57628</v>
      </c>
      <c r="I35" s="63">
        <v>57628</v>
      </c>
      <c r="J35" s="63">
        <f>57628+100000-160975</f>
        <v>-3347</v>
      </c>
      <c r="K35" s="63">
        <v>38418</v>
      </c>
      <c r="L35" s="63">
        <f>76837+407178</f>
        <v>484015</v>
      </c>
      <c r="M35" s="63">
        <f>76836+8387000-751372</f>
        <v>7712464</v>
      </c>
      <c r="N35" s="52">
        <f t="shared" si="2"/>
        <v>8989857</v>
      </c>
      <c r="O35" s="43">
        <v>9447460</v>
      </c>
    </row>
    <row r="36" spans="1:15" ht="14.25" customHeight="1">
      <c r="A36" s="9" t="s">
        <v>57</v>
      </c>
      <c r="B36" s="63">
        <v>4170</v>
      </c>
      <c r="C36" s="63">
        <v>8341</v>
      </c>
      <c r="D36" s="63">
        <v>20852</v>
      </c>
      <c r="E36" s="63">
        <v>4170</v>
      </c>
      <c r="F36" s="63">
        <v>8341</v>
      </c>
      <c r="G36" s="63">
        <v>4170</v>
      </c>
      <c r="H36" s="63">
        <v>4170</v>
      </c>
      <c r="I36" s="63">
        <v>8341</v>
      </c>
      <c r="J36" s="63">
        <v>4170</v>
      </c>
      <c r="K36" s="63">
        <v>4170</v>
      </c>
      <c r="L36" s="63">
        <v>8341</v>
      </c>
      <c r="M36" s="63">
        <v>4171</v>
      </c>
      <c r="N36" s="52">
        <f t="shared" si="2"/>
        <v>83407</v>
      </c>
      <c r="O36" s="43">
        <v>83407</v>
      </c>
    </row>
    <row r="37" spans="1:15" ht="14.25" customHeight="1" thickBot="1">
      <c r="A37" s="9" t="s">
        <v>58</v>
      </c>
      <c r="B37" s="44">
        <v>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52">
        <f t="shared" si="2"/>
        <v>0</v>
      </c>
      <c r="O37" s="43">
        <v>0</v>
      </c>
    </row>
    <row r="38" spans="1:15" ht="13.5" thickBot="1">
      <c r="A38" s="19" t="s">
        <v>38</v>
      </c>
      <c r="B38" s="62">
        <f aca="true" t="shared" si="3" ref="B38:O38">SUM(B23:B37)</f>
        <v>2361940</v>
      </c>
      <c r="C38" s="62">
        <f t="shared" si="3"/>
        <v>1922441</v>
      </c>
      <c r="D38" s="62">
        <f t="shared" si="3"/>
        <v>1877826</v>
      </c>
      <c r="E38" s="62">
        <f t="shared" si="3"/>
        <v>1875764</v>
      </c>
      <c r="F38" s="62">
        <f t="shared" si="3"/>
        <v>1693678</v>
      </c>
      <c r="G38" s="62">
        <f t="shared" si="3"/>
        <v>3842682</v>
      </c>
      <c r="H38" s="62">
        <f t="shared" si="3"/>
        <v>1579336</v>
      </c>
      <c r="I38" s="62">
        <f t="shared" si="3"/>
        <v>1478710</v>
      </c>
      <c r="J38" s="62">
        <f t="shared" si="3"/>
        <v>2471924</v>
      </c>
      <c r="K38" s="62">
        <f t="shared" si="3"/>
        <v>1855930</v>
      </c>
      <c r="L38" s="62">
        <f t="shared" si="3"/>
        <v>4674697</v>
      </c>
      <c r="M38" s="62">
        <f t="shared" si="3"/>
        <v>11459459</v>
      </c>
      <c r="N38" s="69">
        <f t="shared" si="3"/>
        <v>37094387</v>
      </c>
      <c r="O38" s="43">
        <f t="shared" si="3"/>
        <v>31065619</v>
      </c>
    </row>
    <row r="41" ht="12.75">
      <c r="O41" s="43">
        <f>9447460-8487000</f>
        <v>960460</v>
      </c>
    </row>
    <row r="42" ht="12.75">
      <c r="O42" s="43">
        <f>22578619+8487000</f>
        <v>31065619</v>
      </c>
    </row>
  </sheetData>
  <mergeCells count="2">
    <mergeCell ref="A1:N1"/>
    <mergeCell ref="M2:N2"/>
  </mergeCells>
  <printOptions horizontalCentered="1" verticalCentered="1"/>
  <pageMargins left="0.3937007874015748" right="0.3937007874015748" top="0.88" bottom="0.5905511811023623" header="0.64" footer="0.31496062992125984"/>
  <pageSetup firstPageNumber="15" useFirstPageNumber="1" horizontalDpi="600" verticalDpi="600" orientation="landscape" paperSize="9" scale="86" r:id="rId1"/>
  <headerFooter alignWithMargins="0">
    <oddHeader>&amp;R&amp;"Times New Roman CE,Normál"&amp;12A költségvetési rendelet-tervezet 9.sz. melléklete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view="pageBreakPreview" zoomScale="110" zoomScaleSheetLayoutView="11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35" sqref="B35:M35"/>
    </sheetView>
  </sheetViews>
  <sheetFormatPr defaultColWidth="9.00390625" defaultRowHeight="12.75"/>
  <cols>
    <col min="1" max="1" width="28.00390625" style="0" customWidth="1"/>
    <col min="2" max="2" width="13.875" style="0" bestFit="1" customWidth="1"/>
    <col min="3" max="4" width="13.125" style="0" bestFit="1" customWidth="1"/>
    <col min="5" max="13" width="9.375" style="0" customWidth="1"/>
    <col min="14" max="14" width="9.625" style="0" customWidth="1"/>
    <col min="15" max="15" width="12.625" style="43" customWidth="1"/>
    <col min="16" max="16" width="11.75390625" style="0" bestFit="1" customWidth="1"/>
    <col min="17" max="17" width="12.00390625" style="0" customWidth="1"/>
    <col min="18" max="18" width="9.25390625" style="0" bestFit="1" customWidth="1"/>
  </cols>
  <sheetData>
    <row r="1" spans="1:14" ht="18.75">
      <c r="A1" s="71" t="s">
        <v>42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6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73" t="s">
        <v>0</v>
      </c>
      <c r="N2" s="73"/>
    </row>
    <row r="3" spans="1:14" ht="16.5" thickBot="1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5" t="s">
        <v>14</v>
      </c>
    </row>
    <row r="4" spans="1:14" ht="18.75">
      <c r="A4" s="46" t="s">
        <v>15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1:15" ht="12.75">
      <c r="A5" s="9" t="s">
        <v>16</v>
      </c>
      <c r="B5" s="34">
        <v>0.09</v>
      </c>
      <c r="C5" s="34">
        <v>0.09</v>
      </c>
      <c r="D5" s="34">
        <v>0.09</v>
      </c>
      <c r="E5" s="34">
        <v>0.09</v>
      </c>
      <c r="F5" s="34">
        <v>0.09</v>
      </c>
      <c r="G5" s="34">
        <v>0.1</v>
      </c>
      <c r="H5" s="34">
        <v>0.08</v>
      </c>
      <c r="I5" s="34">
        <v>0.08</v>
      </c>
      <c r="J5" s="34">
        <v>0.08</v>
      </c>
      <c r="K5" s="34">
        <v>0.08</v>
      </c>
      <c r="L5" s="34">
        <v>0.08</v>
      </c>
      <c r="M5" s="34">
        <v>0.05</v>
      </c>
      <c r="N5" s="37">
        <f>SUM(B5:M5)</f>
        <v>0.9999999999999998</v>
      </c>
      <c r="O5" s="44">
        <v>3024479</v>
      </c>
    </row>
    <row r="6" spans="1:15" ht="12.75">
      <c r="A6" s="12" t="s">
        <v>43</v>
      </c>
      <c r="B6" s="34">
        <v>0.08333333333333334</v>
      </c>
      <c r="C6" s="34">
        <v>0.08333333333333334</v>
      </c>
      <c r="D6" s="34">
        <v>0.08333333333333334</v>
      </c>
      <c r="E6" s="34">
        <v>0.08333333333333334</v>
      </c>
      <c r="F6" s="34">
        <v>0.08333333333333334</v>
      </c>
      <c r="G6" s="34">
        <v>0.08333333333333334</v>
      </c>
      <c r="H6" s="34">
        <v>0.08333333333333334</v>
      </c>
      <c r="I6" s="34">
        <v>0.08333333333333334</v>
      </c>
      <c r="J6" s="34">
        <v>0.08333333333333334</v>
      </c>
      <c r="K6" s="34">
        <v>0.08333333333333334</v>
      </c>
      <c r="L6" s="34">
        <v>0.08333333333333334</v>
      </c>
      <c r="M6" s="34">
        <v>0.08333333333333334</v>
      </c>
      <c r="N6" s="37">
        <f>SUM(B6:M6)</f>
        <v>1.0000000000000002</v>
      </c>
      <c r="O6" s="43">
        <v>2439679</v>
      </c>
    </row>
    <row r="7" spans="1:15" ht="12.75">
      <c r="A7" s="12" t="s">
        <v>17</v>
      </c>
      <c r="B7" s="51">
        <v>198000</v>
      </c>
      <c r="C7" s="51">
        <v>0</v>
      </c>
      <c r="D7" s="51">
        <v>2000</v>
      </c>
      <c r="E7" s="51">
        <v>0</v>
      </c>
      <c r="F7" s="51">
        <v>2000</v>
      </c>
      <c r="G7" s="51">
        <v>0</v>
      </c>
      <c r="H7" s="51">
        <v>2000</v>
      </c>
      <c r="I7" s="51">
        <v>0</v>
      </c>
      <c r="J7" s="51">
        <v>2000</v>
      </c>
      <c r="K7" s="51">
        <v>0</v>
      </c>
      <c r="L7" s="51">
        <v>0</v>
      </c>
      <c r="M7" s="51">
        <v>0</v>
      </c>
      <c r="N7" s="52">
        <f aca="true" t="shared" si="0" ref="N7:N20">SUM(B7:M7)</f>
        <v>206000</v>
      </c>
      <c r="O7" s="44">
        <v>206000</v>
      </c>
    </row>
    <row r="8" spans="1:15" ht="12.75">
      <c r="A8" s="12" t="s">
        <v>60</v>
      </c>
      <c r="B8" s="53">
        <v>0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4">
        <f>SUM(B8:M8)</f>
        <v>0</v>
      </c>
      <c r="O8" s="45">
        <v>0</v>
      </c>
    </row>
    <row r="9" spans="1:15" ht="12.75">
      <c r="A9" s="12" t="s">
        <v>46</v>
      </c>
      <c r="B9" s="53">
        <v>0.14</v>
      </c>
      <c r="C9" s="53">
        <v>0.07</v>
      </c>
      <c r="D9" s="53">
        <v>0.07</v>
      </c>
      <c r="E9" s="53">
        <v>0.07</v>
      </c>
      <c r="F9" s="53">
        <v>0.07</v>
      </c>
      <c r="G9" s="53">
        <v>0.07</v>
      </c>
      <c r="H9" s="53">
        <v>0.07</v>
      </c>
      <c r="I9" s="53">
        <v>0.07</v>
      </c>
      <c r="J9" s="53">
        <v>0.1</v>
      </c>
      <c r="K9" s="53">
        <v>0.07</v>
      </c>
      <c r="L9" s="53">
        <v>0.1</v>
      </c>
      <c r="M9" s="53">
        <v>0.1</v>
      </c>
      <c r="N9" s="54">
        <f>SUM(B9:M9)</f>
        <v>1</v>
      </c>
      <c r="O9" s="43">
        <v>6077098</v>
      </c>
    </row>
    <row r="10" spans="1:15" ht="12.75">
      <c r="A10" s="12" t="s">
        <v>47</v>
      </c>
      <c r="B10" s="53">
        <v>0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4">
        <f t="shared" si="0"/>
        <v>0</v>
      </c>
      <c r="O10" s="43">
        <v>0</v>
      </c>
    </row>
    <row r="11" spans="1:15" ht="12.75">
      <c r="A11" s="12" t="s">
        <v>45</v>
      </c>
      <c r="B11" s="53">
        <v>0.15</v>
      </c>
      <c r="C11" s="53">
        <v>0.06</v>
      </c>
      <c r="D11" s="53">
        <v>0.06</v>
      </c>
      <c r="E11" s="53">
        <v>0.06</v>
      </c>
      <c r="F11" s="53">
        <v>0.06</v>
      </c>
      <c r="G11" s="53">
        <v>0.06</v>
      </c>
      <c r="H11" s="53">
        <v>0.06</v>
      </c>
      <c r="I11" s="53">
        <v>0.07</v>
      </c>
      <c r="J11" s="53">
        <v>0.13</v>
      </c>
      <c r="K11" s="53">
        <v>0.07</v>
      </c>
      <c r="L11" s="53">
        <v>0.1</v>
      </c>
      <c r="M11" s="53">
        <v>0.12</v>
      </c>
      <c r="N11" s="54">
        <f t="shared" si="0"/>
        <v>1</v>
      </c>
      <c r="O11" s="43">
        <v>5115221</v>
      </c>
    </row>
    <row r="12" spans="1:15" ht="12.75">
      <c r="A12" s="9" t="s">
        <v>44</v>
      </c>
      <c r="B12" s="53">
        <v>0.07</v>
      </c>
      <c r="C12" s="53">
        <v>0.07</v>
      </c>
      <c r="D12" s="53">
        <v>0.07</v>
      </c>
      <c r="E12" s="53">
        <v>0.07</v>
      </c>
      <c r="F12" s="53">
        <v>0.09</v>
      </c>
      <c r="G12" s="53">
        <v>0.09</v>
      </c>
      <c r="H12" s="53">
        <v>0.06</v>
      </c>
      <c r="I12" s="53">
        <v>0.06</v>
      </c>
      <c r="J12" s="53">
        <v>0.06</v>
      </c>
      <c r="K12" s="53">
        <v>0.08</v>
      </c>
      <c r="L12" s="53">
        <v>0.08</v>
      </c>
      <c r="M12" s="53">
        <v>0.2</v>
      </c>
      <c r="N12" s="54">
        <f t="shared" si="0"/>
        <v>1</v>
      </c>
      <c r="O12" s="43">
        <v>9198208</v>
      </c>
    </row>
    <row r="13" spans="1:15" ht="12.75">
      <c r="A13" s="9" t="s">
        <v>59</v>
      </c>
      <c r="B13" s="53">
        <v>0.07</v>
      </c>
      <c r="C13" s="53">
        <v>0.07</v>
      </c>
      <c r="D13" s="53">
        <v>0.07</v>
      </c>
      <c r="E13" s="53">
        <v>0.07</v>
      </c>
      <c r="F13" s="53">
        <v>0.1</v>
      </c>
      <c r="G13" s="53">
        <v>0.1</v>
      </c>
      <c r="H13" s="53">
        <v>0.08</v>
      </c>
      <c r="I13" s="53">
        <v>0.08</v>
      </c>
      <c r="J13" s="53">
        <v>0.08</v>
      </c>
      <c r="K13" s="53">
        <v>0.08</v>
      </c>
      <c r="L13" s="53">
        <v>0.08</v>
      </c>
      <c r="M13" s="53">
        <v>0.12</v>
      </c>
      <c r="N13" s="54">
        <f t="shared" si="0"/>
        <v>0.9999999999999998</v>
      </c>
      <c r="O13" s="43">
        <v>684549</v>
      </c>
    </row>
    <row r="14" spans="1:15" ht="12.75">
      <c r="A14" s="9" t="s">
        <v>61</v>
      </c>
      <c r="B14" s="53">
        <v>0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4">
        <f>SUM(B14:M14)</f>
        <v>0</v>
      </c>
      <c r="O14" s="43">
        <v>0</v>
      </c>
    </row>
    <row r="15" spans="1:15" ht="12.75">
      <c r="A15" s="12" t="s">
        <v>40</v>
      </c>
      <c r="B15" s="53">
        <v>0.01488130669777852</v>
      </c>
      <c r="C15" s="53">
        <v>0.01488130669777852</v>
      </c>
      <c r="D15" s="53">
        <v>0.01488130669777852</v>
      </c>
      <c r="E15" s="53">
        <v>0.01488130669777852</v>
      </c>
      <c r="F15" s="53">
        <v>0.01488130669777852</v>
      </c>
      <c r="G15" s="53">
        <v>0.01488130669777852</v>
      </c>
      <c r="H15" s="53">
        <v>0.01488130669777852</v>
      </c>
      <c r="I15" s="53">
        <v>0.01488130669777852</v>
      </c>
      <c r="J15" s="53">
        <v>0.8363056263244363</v>
      </c>
      <c r="K15" s="53">
        <v>0.01488130669777852</v>
      </c>
      <c r="L15" s="53">
        <v>0.01488130669777852</v>
      </c>
      <c r="M15" s="53">
        <v>0.01488130669777852</v>
      </c>
      <c r="N15" s="54">
        <f t="shared" si="0"/>
        <v>1</v>
      </c>
      <c r="O15" s="43">
        <v>30000</v>
      </c>
    </row>
    <row r="16" spans="1:15" ht="12.75">
      <c r="A16" s="12" t="s">
        <v>62</v>
      </c>
      <c r="B16" s="53">
        <v>0.13</v>
      </c>
      <c r="C16" s="53">
        <v>0.13</v>
      </c>
      <c r="D16" s="53">
        <v>0.13</v>
      </c>
      <c r="E16" s="53">
        <v>0.13</v>
      </c>
      <c r="F16" s="53">
        <v>0.01</v>
      </c>
      <c r="G16" s="53">
        <v>0.24</v>
      </c>
      <c r="H16" s="53">
        <v>0.01</v>
      </c>
      <c r="I16" s="53">
        <v>0.01</v>
      </c>
      <c r="J16" s="53">
        <v>0.18</v>
      </c>
      <c r="K16" s="53">
        <v>0.01</v>
      </c>
      <c r="L16" s="53">
        <v>0.01</v>
      </c>
      <c r="M16" s="53">
        <v>0.01</v>
      </c>
      <c r="N16" s="54">
        <f t="shared" si="0"/>
        <v>1</v>
      </c>
      <c r="O16" s="43">
        <v>454058</v>
      </c>
    </row>
    <row r="17" spans="1:15" ht="12.75">
      <c r="A17" s="12" t="s">
        <v>63</v>
      </c>
      <c r="B17" s="53">
        <v>0.11</v>
      </c>
      <c r="C17" s="53">
        <v>0.11</v>
      </c>
      <c r="D17" s="53">
        <v>0.11</v>
      </c>
      <c r="E17" s="53">
        <v>0.11</v>
      </c>
      <c r="F17" s="53">
        <v>0.04</v>
      </c>
      <c r="G17" s="53">
        <v>0.2</v>
      </c>
      <c r="H17" s="53">
        <v>0.03</v>
      </c>
      <c r="I17" s="53">
        <v>0.03</v>
      </c>
      <c r="J17" s="53">
        <v>0.2</v>
      </c>
      <c r="K17" s="53">
        <v>0.02</v>
      </c>
      <c r="L17" s="53">
        <v>0.03</v>
      </c>
      <c r="M17" s="53">
        <v>0.01</v>
      </c>
      <c r="N17" s="54">
        <f t="shared" si="0"/>
        <v>1</v>
      </c>
      <c r="O17" s="43">
        <v>9913425</v>
      </c>
    </row>
    <row r="18" spans="1:15" ht="12.75">
      <c r="A18" s="12" t="s">
        <v>48</v>
      </c>
      <c r="B18" s="53">
        <v>0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4">
        <f>SUM(B18:M18)</f>
        <v>0</v>
      </c>
      <c r="O18" s="43">
        <v>0</v>
      </c>
    </row>
    <row r="19" spans="1:15" ht="12.75">
      <c r="A19" s="12" t="s">
        <v>49</v>
      </c>
      <c r="B19" s="53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f>SUM(B19:M19)</f>
        <v>0</v>
      </c>
      <c r="O19" s="43">
        <v>0</v>
      </c>
    </row>
    <row r="20" spans="1:15" ht="13.5" thickBot="1">
      <c r="A20" s="50" t="s">
        <v>26</v>
      </c>
      <c r="B20" s="53">
        <f>+B9+B10</f>
        <v>0.14</v>
      </c>
      <c r="C20" s="53">
        <f aca="true" t="shared" si="1" ref="C20:M20">+C9+C10</f>
        <v>0.07</v>
      </c>
      <c r="D20" s="53">
        <f t="shared" si="1"/>
        <v>0.07</v>
      </c>
      <c r="E20" s="53">
        <f t="shared" si="1"/>
        <v>0.07</v>
      </c>
      <c r="F20" s="53">
        <f t="shared" si="1"/>
        <v>0.07</v>
      </c>
      <c r="G20" s="53">
        <f t="shared" si="1"/>
        <v>0.07</v>
      </c>
      <c r="H20" s="53">
        <f t="shared" si="1"/>
        <v>0.07</v>
      </c>
      <c r="I20" s="53">
        <f t="shared" si="1"/>
        <v>0.07</v>
      </c>
      <c r="J20" s="53">
        <f t="shared" si="1"/>
        <v>0.1</v>
      </c>
      <c r="K20" s="53">
        <f t="shared" si="1"/>
        <v>0.07</v>
      </c>
      <c r="L20" s="53">
        <f t="shared" si="1"/>
        <v>0.1</v>
      </c>
      <c r="M20" s="53">
        <f t="shared" si="1"/>
        <v>0.1</v>
      </c>
      <c r="N20" s="54">
        <f t="shared" si="0"/>
        <v>1</v>
      </c>
      <c r="O20" s="43">
        <v>-6077098</v>
      </c>
    </row>
    <row r="21" spans="1:15" ht="13.5" thickBot="1">
      <c r="A21" s="19" t="s">
        <v>27</v>
      </c>
      <c r="B21" s="55">
        <f aca="true" t="shared" si="2" ref="B21:N21">SUM(B11:B20)</f>
        <v>0.6848813066977786</v>
      </c>
      <c r="C21" s="55">
        <f t="shared" si="2"/>
        <v>0.5248813066977784</v>
      </c>
      <c r="D21" s="55">
        <f t="shared" si="2"/>
        <v>0.5248813066977784</v>
      </c>
      <c r="E21" s="55">
        <f t="shared" si="2"/>
        <v>0.5248813066977784</v>
      </c>
      <c r="F21" s="55">
        <f t="shared" si="2"/>
        <v>0.38488130669777854</v>
      </c>
      <c r="G21" s="55">
        <f t="shared" si="2"/>
        <v>0.7748813066977787</v>
      </c>
      <c r="H21" s="55">
        <f t="shared" si="2"/>
        <v>0.32488130669777854</v>
      </c>
      <c r="I21" s="55">
        <f t="shared" si="2"/>
        <v>0.33488130669777855</v>
      </c>
      <c r="J21" s="55">
        <f t="shared" si="2"/>
        <v>1.5863056263244362</v>
      </c>
      <c r="K21" s="55">
        <f t="shared" si="2"/>
        <v>0.34488130669777856</v>
      </c>
      <c r="L21" s="55">
        <f t="shared" si="2"/>
        <v>0.41488130669777856</v>
      </c>
      <c r="M21" s="55">
        <f t="shared" si="2"/>
        <v>0.5748813066977786</v>
      </c>
      <c r="N21" s="55">
        <f t="shared" si="2"/>
        <v>7</v>
      </c>
      <c r="O21" s="43">
        <f>SUM(O5:O20)</f>
        <v>31065619</v>
      </c>
    </row>
    <row r="22" spans="1:14" ht="18.75">
      <c r="A22" s="49" t="s">
        <v>28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7"/>
    </row>
    <row r="23" spans="1:15" ht="12.75">
      <c r="A23" s="9" t="s">
        <v>29</v>
      </c>
      <c r="B23" s="58">
        <f>+(1+0.5+1/24)/13</f>
        <v>0.1185897435897436</v>
      </c>
      <c r="C23" s="58">
        <f>+(1+1/24)/13</f>
        <v>0.08012820512820513</v>
      </c>
      <c r="D23" s="58">
        <f aca="true" t="shared" si="3" ref="D23:M24">+(1+1/24)/13</f>
        <v>0.08012820512820513</v>
      </c>
      <c r="E23" s="58">
        <f t="shared" si="3"/>
        <v>0.08012820512820513</v>
      </c>
      <c r="F23" s="58">
        <f t="shared" si="3"/>
        <v>0.08012820512820513</v>
      </c>
      <c r="G23" s="58">
        <f t="shared" si="3"/>
        <v>0.08012820512820513</v>
      </c>
      <c r="H23" s="58">
        <f t="shared" si="3"/>
        <v>0.08012820512820513</v>
      </c>
      <c r="I23" s="58">
        <f t="shared" si="3"/>
        <v>0.08012820512820513</v>
      </c>
      <c r="J23" s="58">
        <f t="shared" si="3"/>
        <v>0.08012820512820513</v>
      </c>
      <c r="K23" s="58">
        <f t="shared" si="3"/>
        <v>0.08012820512820513</v>
      </c>
      <c r="L23" s="58">
        <f t="shared" si="3"/>
        <v>0.08012820512820513</v>
      </c>
      <c r="M23" s="58">
        <f t="shared" si="3"/>
        <v>0.08012820512820513</v>
      </c>
      <c r="N23" s="59">
        <f>SUM(B23:M23)</f>
        <v>1.0000000000000002</v>
      </c>
      <c r="O23" s="43">
        <v>8700057</v>
      </c>
    </row>
    <row r="24" spans="1:15" ht="12.75">
      <c r="A24" s="12" t="s">
        <v>30</v>
      </c>
      <c r="B24" s="58">
        <f>+(1+0.5+1/24)/13</f>
        <v>0.1185897435897436</v>
      </c>
      <c r="C24" s="58">
        <f>+(1+1/24)/13</f>
        <v>0.08012820512820513</v>
      </c>
      <c r="D24" s="58">
        <f t="shared" si="3"/>
        <v>0.08012820512820513</v>
      </c>
      <c r="E24" s="58">
        <f t="shared" si="3"/>
        <v>0.08012820512820513</v>
      </c>
      <c r="F24" s="58">
        <f t="shared" si="3"/>
        <v>0.08012820512820513</v>
      </c>
      <c r="G24" s="58">
        <f t="shared" si="3"/>
        <v>0.08012820512820513</v>
      </c>
      <c r="H24" s="58">
        <f t="shared" si="3"/>
        <v>0.08012820512820513</v>
      </c>
      <c r="I24" s="58">
        <f t="shared" si="3"/>
        <v>0.08012820512820513</v>
      </c>
      <c r="J24" s="58">
        <f t="shared" si="3"/>
        <v>0.08012820512820513</v>
      </c>
      <c r="K24" s="58">
        <f t="shared" si="3"/>
        <v>0.08012820512820513</v>
      </c>
      <c r="L24" s="58">
        <f t="shared" si="3"/>
        <v>0.08012820512820513</v>
      </c>
      <c r="M24" s="58">
        <f t="shared" si="3"/>
        <v>0.08012820512820513</v>
      </c>
      <c r="N24" s="59">
        <f aca="true" t="shared" si="4" ref="N24:N32">SUM(B24:M24)</f>
        <v>1.0000000000000002</v>
      </c>
      <c r="O24" s="43">
        <v>2769191</v>
      </c>
    </row>
    <row r="25" spans="1:15" ht="12.75">
      <c r="A25" s="12" t="s">
        <v>50</v>
      </c>
      <c r="B25" s="42">
        <v>0.13</v>
      </c>
      <c r="C25" s="42">
        <v>0.13</v>
      </c>
      <c r="D25" s="42">
        <v>0.1</v>
      </c>
      <c r="E25" s="42">
        <v>0.06</v>
      </c>
      <c r="F25" s="42">
        <v>0.05</v>
      </c>
      <c r="G25" s="42">
        <v>0.04</v>
      </c>
      <c r="H25" s="42">
        <v>0.04</v>
      </c>
      <c r="I25" s="42">
        <v>0.04</v>
      </c>
      <c r="J25" s="42">
        <v>0.05</v>
      </c>
      <c r="K25" s="42">
        <v>0.1</v>
      </c>
      <c r="L25" s="42">
        <v>0.13</v>
      </c>
      <c r="M25" s="42">
        <v>0.13</v>
      </c>
      <c r="N25" s="59">
        <f t="shared" si="4"/>
        <v>1</v>
      </c>
      <c r="O25" s="43">
        <v>7149155</v>
      </c>
    </row>
    <row r="26" spans="1:15" ht="12.75">
      <c r="A26" s="9" t="s">
        <v>51</v>
      </c>
      <c r="B26" s="42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59">
        <f t="shared" si="4"/>
        <v>0</v>
      </c>
      <c r="O26" s="43">
        <v>0</v>
      </c>
    </row>
    <row r="27" spans="1:15" ht="12.75">
      <c r="A27" s="9" t="s">
        <v>52</v>
      </c>
      <c r="B27" s="42">
        <v>0</v>
      </c>
      <c r="C27" s="42">
        <v>0</v>
      </c>
      <c r="D27" s="42">
        <v>0</v>
      </c>
      <c r="E27" s="42">
        <v>0.25</v>
      </c>
      <c r="F27" s="42">
        <v>0</v>
      </c>
      <c r="G27" s="42">
        <v>0</v>
      </c>
      <c r="H27" s="42">
        <v>0.25</v>
      </c>
      <c r="I27" s="42">
        <v>0</v>
      </c>
      <c r="J27" s="42">
        <v>0</v>
      </c>
      <c r="K27" s="42">
        <v>0.25</v>
      </c>
      <c r="L27" s="42">
        <v>0</v>
      </c>
      <c r="M27" s="42">
        <v>0.25</v>
      </c>
      <c r="N27" s="59">
        <f t="shared" si="4"/>
        <v>1</v>
      </c>
      <c r="O27" s="43">
        <v>27000</v>
      </c>
    </row>
    <row r="28" spans="1:15" ht="12.75">
      <c r="A28" s="9" t="s">
        <v>53</v>
      </c>
      <c r="B28" s="42">
        <v>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59">
        <f t="shared" si="4"/>
        <v>0</v>
      </c>
      <c r="O28" s="43">
        <v>0</v>
      </c>
    </row>
    <row r="29" spans="1:15" ht="12.75">
      <c r="A29" s="9" t="s">
        <v>54</v>
      </c>
      <c r="B29" s="42">
        <v>0.02</v>
      </c>
      <c r="C29" s="42">
        <v>0.02</v>
      </c>
      <c r="D29" s="42">
        <v>0.02</v>
      </c>
      <c r="E29" s="42">
        <v>0.02</v>
      </c>
      <c r="F29" s="42">
        <v>0.02</v>
      </c>
      <c r="G29" s="42">
        <v>0.22</v>
      </c>
      <c r="H29" s="42">
        <v>0.08</v>
      </c>
      <c r="I29" s="42">
        <v>0.06</v>
      </c>
      <c r="J29" s="42">
        <v>0.23</v>
      </c>
      <c r="K29" s="42">
        <v>0.04</v>
      </c>
      <c r="L29" s="42">
        <v>0.14</v>
      </c>
      <c r="M29" s="42">
        <v>0.13</v>
      </c>
      <c r="N29" s="59">
        <f t="shared" si="4"/>
        <v>1</v>
      </c>
      <c r="O29" s="43">
        <v>248799</v>
      </c>
    </row>
    <row r="30" spans="1:15" ht="12.75">
      <c r="A30" s="9" t="s">
        <v>55</v>
      </c>
      <c r="B30" s="42">
        <v>0.1</v>
      </c>
      <c r="C30" s="42">
        <v>0.1</v>
      </c>
      <c r="D30" s="42">
        <v>0.03</v>
      </c>
      <c r="E30" s="42">
        <v>0.01</v>
      </c>
      <c r="F30" s="42">
        <v>0.01</v>
      </c>
      <c r="G30" s="42">
        <v>0.13</v>
      </c>
      <c r="H30" s="42">
        <v>0.12</v>
      </c>
      <c r="I30" s="42">
        <v>0.02</v>
      </c>
      <c r="J30" s="42">
        <v>0.12</v>
      </c>
      <c r="K30" s="42">
        <v>0.12</v>
      </c>
      <c r="L30" s="42">
        <v>0.12</v>
      </c>
      <c r="M30" s="42">
        <v>0.12</v>
      </c>
      <c r="N30" s="59">
        <f t="shared" si="4"/>
        <v>1</v>
      </c>
      <c r="O30" s="43">
        <v>4000</v>
      </c>
    </row>
    <row r="31" spans="1:15" ht="12.75">
      <c r="A31" s="12" t="s">
        <v>33</v>
      </c>
      <c r="B31" s="42">
        <v>0.1</v>
      </c>
      <c r="C31" s="42">
        <v>0.09</v>
      </c>
      <c r="D31" s="42">
        <v>0.09</v>
      </c>
      <c r="E31" s="42">
        <v>0.09</v>
      </c>
      <c r="F31" s="42">
        <v>0.09</v>
      </c>
      <c r="G31" s="42">
        <v>0.09</v>
      </c>
      <c r="H31" s="42">
        <v>0.08</v>
      </c>
      <c r="I31" s="42">
        <v>0.08</v>
      </c>
      <c r="J31" s="42">
        <v>0.08</v>
      </c>
      <c r="K31" s="42">
        <v>0.08</v>
      </c>
      <c r="L31" s="42">
        <v>0.08</v>
      </c>
      <c r="M31" s="42">
        <v>0.05</v>
      </c>
      <c r="N31" s="59">
        <f t="shared" si="4"/>
        <v>0.9999999999999998</v>
      </c>
      <c r="O31" s="43">
        <v>254345</v>
      </c>
    </row>
    <row r="32" spans="1:15" ht="12.75">
      <c r="A32" s="12" t="s">
        <v>34</v>
      </c>
      <c r="B32" s="42">
        <v>0.05</v>
      </c>
      <c r="C32" s="42">
        <v>0.05</v>
      </c>
      <c r="D32" s="42">
        <v>0.05</v>
      </c>
      <c r="E32" s="42">
        <v>0.05</v>
      </c>
      <c r="F32" s="42">
        <v>0.05</v>
      </c>
      <c r="G32" s="42">
        <v>0.2</v>
      </c>
      <c r="H32" s="42">
        <v>0.04</v>
      </c>
      <c r="I32" s="42">
        <v>0.05</v>
      </c>
      <c r="J32" s="42">
        <v>0.04</v>
      </c>
      <c r="K32" s="42">
        <v>0.04</v>
      </c>
      <c r="L32" s="42">
        <v>0.2</v>
      </c>
      <c r="M32" s="42">
        <v>0.18</v>
      </c>
      <c r="N32" s="59">
        <f t="shared" si="4"/>
        <v>1</v>
      </c>
      <c r="O32" s="43">
        <v>52345</v>
      </c>
    </row>
    <row r="33" spans="1:15" ht="12.75">
      <c r="A33" s="12" t="s">
        <v>35</v>
      </c>
      <c r="B33" s="42">
        <v>0.06</v>
      </c>
      <c r="C33" s="42">
        <v>0.06</v>
      </c>
      <c r="D33" s="42">
        <v>0.06</v>
      </c>
      <c r="E33" s="42">
        <v>0.07</v>
      </c>
      <c r="F33" s="42">
        <v>0.07</v>
      </c>
      <c r="G33" s="42">
        <v>0.2</v>
      </c>
      <c r="H33" s="42">
        <v>0.1</v>
      </c>
      <c r="I33" s="42">
        <v>0.06</v>
      </c>
      <c r="J33" s="42">
        <v>0.1</v>
      </c>
      <c r="K33" s="42">
        <v>0.06</v>
      </c>
      <c r="L33" s="42">
        <v>0.06</v>
      </c>
      <c r="M33" s="42">
        <v>0.1</v>
      </c>
      <c r="N33" s="54">
        <f aca="true" t="shared" si="5" ref="N33:N38">SUM(B33:M33)</f>
        <v>0.9999999999999999</v>
      </c>
      <c r="O33" s="43">
        <v>2329860</v>
      </c>
    </row>
    <row r="34" spans="1:15" ht="12.75">
      <c r="A34" s="9" t="s">
        <v>56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54">
        <f t="shared" si="5"/>
        <v>0</v>
      </c>
      <c r="O34" s="43">
        <v>0</v>
      </c>
    </row>
    <row r="35" spans="1:15" ht="12.75">
      <c r="A35" s="12" t="s">
        <v>37</v>
      </c>
      <c r="B35" s="42">
        <v>0</v>
      </c>
      <c r="C35" s="42">
        <v>0</v>
      </c>
      <c r="D35" s="42">
        <v>0.06</v>
      </c>
      <c r="E35" s="42">
        <v>0.12</v>
      </c>
      <c r="F35" s="42">
        <v>0.12</v>
      </c>
      <c r="G35" s="42">
        <v>0.32</v>
      </c>
      <c r="H35" s="42">
        <v>0.06</v>
      </c>
      <c r="I35" s="42">
        <v>0.06</v>
      </c>
      <c r="J35" s="42">
        <v>0.06</v>
      </c>
      <c r="K35" s="42">
        <v>0.04</v>
      </c>
      <c r="L35" s="42">
        <v>0.08</v>
      </c>
      <c r="M35" s="42">
        <v>0.08</v>
      </c>
      <c r="N35" s="54">
        <f t="shared" si="5"/>
        <v>1</v>
      </c>
      <c r="O35" s="43">
        <v>9447460</v>
      </c>
    </row>
    <row r="36" spans="1:15" ht="12.75">
      <c r="A36" s="9" t="s">
        <v>57</v>
      </c>
      <c r="B36" s="42">
        <v>0.05</v>
      </c>
      <c r="C36" s="42">
        <v>0.1</v>
      </c>
      <c r="D36" s="42">
        <v>0.25</v>
      </c>
      <c r="E36" s="42">
        <v>0.05</v>
      </c>
      <c r="F36" s="42">
        <v>0.1</v>
      </c>
      <c r="G36" s="42">
        <v>0.05</v>
      </c>
      <c r="H36" s="42">
        <v>0.05</v>
      </c>
      <c r="I36" s="42">
        <v>0.1</v>
      </c>
      <c r="J36" s="42">
        <v>0.05</v>
      </c>
      <c r="K36" s="42">
        <v>0.05</v>
      </c>
      <c r="L36" s="42">
        <v>0.1</v>
      </c>
      <c r="M36" s="42">
        <v>0.05</v>
      </c>
      <c r="N36" s="54">
        <f t="shared" si="5"/>
        <v>1.0000000000000002</v>
      </c>
      <c r="O36" s="43">
        <v>83407</v>
      </c>
    </row>
    <row r="37" spans="1:15" ht="13.5" thickBot="1">
      <c r="A37" s="9" t="s">
        <v>58</v>
      </c>
      <c r="B37" s="42">
        <v>0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54">
        <f t="shared" si="5"/>
        <v>0</v>
      </c>
      <c r="O37" s="43">
        <v>0</v>
      </c>
    </row>
    <row r="38" spans="1:15" ht="13.5" thickBot="1">
      <c r="A38" s="19" t="s">
        <v>38</v>
      </c>
      <c r="B38" s="38">
        <f aca="true" t="shared" si="6" ref="B38:M38">SUM(B23:B37)-B27-B26</f>
        <v>0.7471794871794872</v>
      </c>
      <c r="C38" s="38">
        <f t="shared" si="6"/>
        <v>0.7102564102564103</v>
      </c>
      <c r="D38" s="38">
        <f t="shared" si="6"/>
        <v>0.8202564102564103</v>
      </c>
      <c r="E38" s="38">
        <f t="shared" si="6"/>
        <v>0.6302564102564104</v>
      </c>
      <c r="F38" s="38">
        <f t="shared" si="6"/>
        <v>0.6702564102564103</v>
      </c>
      <c r="G38" s="38">
        <f t="shared" si="6"/>
        <v>1.4102564102564104</v>
      </c>
      <c r="H38" s="38">
        <f t="shared" si="6"/>
        <v>0.7302564102564102</v>
      </c>
      <c r="I38" s="38">
        <f t="shared" si="6"/>
        <v>0.6302564102564102</v>
      </c>
      <c r="J38" s="38">
        <f t="shared" si="6"/>
        <v>0.8902564102564103</v>
      </c>
      <c r="K38" s="38">
        <f t="shared" si="6"/>
        <v>0.6902564102564104</v>
      </c>
      <c r="L38" s="38">
        <f t="shared" si="6"/>
        <v>1.0702564102564103</v>
      </c>
      <c r="M38" s="38">
        <f t="shared" si="6"/>
        <v>1.0002564102564104</v>
      </c>
      <c r="N38" s="39">
        <f t="shared" si="5"/>
        <v>10</v>
      </c>
      <c r="O38" s="43">
        <f>SUM(O23:O37)</f>
        <v>31065619</v>
      </c>
    </row>
  </sheetData>
  <mergeCells count="2">
    <mergeCell ref="A1:N1"/>
    <mergeCell ref="M2:N2"/>
  </mergeCells>
  <printOptions horizontalCentered="1" verticalCentered="1"/>
  <pageMargins left="0.3937007874015748" right="0.3937007874015748" top="0.7086614173228347" bottom="0.5905511811023623" header="0.4330708661417323" footer="0.31496062992125984"/>
  <pageSetup firstPageNumber="15" useFirstPageNumber="1" horizontalDpi="600" verticalDpi="600" orientation="landscape" paperSize="9" scale="86" r:id="rId1"/>
  <headerFooter alignWithMargins="0">
    <oddHeader>&amp;R&amp;"Times New Roman CE,Normál"A költségvetési rendelet-tervezet 9.sz. melléklete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43"/>
  <sheetViews>
    <sheetView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5" sqref="B35:M35"/>
    </sheetView>
  </sheetViews>
  <sheetFormatPr defaultColWidth="9.00390625" defaultRowHeight="12.75"/>
  <cols>
    <col min="1" max="1" width="28.00390625" style="0" customWidth="1"/>
    <col min="2" max="2" width="13.875" style="0" bestFit="1" customWidth="1"/>
    <col min="3" max="4" width="13.125" style="0" bestFit="1" customWidth="1"/>
    <col min="5" max="13" width="9.375" style="0" customWidth="1"/>
    <col min="14" max="14" width="15.75390625" style="0" bestFit="1" customWidth="1"/>
    <col min="15" max="15" width="12.625" style="43" customWidth="1"/>
    <col min="16" max="16" width="11.75390625" style="0" bestFit="1" customWidth="1"/>
    <col min="17" max="17" width="12.00390625" style="0" customWidth="1"/>
    <col min="18" max="18" width="9.25390625" style="0" bestFit="1" customWidth="1"/>
  </cols>
  <sheetData>
    <row r="1" spans="1:14" ht="18.75">
      <c r="A1" s="71" t="s">
        <v>42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6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73" t="s">
        <v>0</v>
      </c>
      <c r="N2" s="73"/>
    </row>
    <row r="3" spans="1:14" ht="16.5" thickBot="1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5" t="s">
        <v>14</v>
      </c>
    </row>
    <row r="4" spans="1:14" ht="18.75">
      <c r="A4" s="46" t="s">
        <v>15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1:15" ht="12.75">
      <c r="A5" s="9" t="s">
        <v>16</v>
      </c>
      <c r="B5" s="44">
        <v>272203.11</v>
      </c>
      <c r="C5" s="44">
        <v>272203.11</v>
      </c>
      <c r="D5" s="44">
        <v>272203.11</v>
      </c>
      <c r="E5" s="44">
        <v>272203.11</v>
      </c>
      <c r="F5" s="44">
        <v>272203.11</v>
      </c>
      <c r="G5" s="44">
        <v>302447.9</v>
      </c>
      <c r="H5" s="44">
        <v>241958.32</v>
      </c>
      <c r="I5" s="44">
        <v>241958.32</v>
      </c>
      <c r="J5" s="44">
        <v>241958.32</v>
      </c>
      <c r="K5" s="44">
        <v>241958.32</v>
      </c>
      <c r="L5" s="44">
        <v>241958.32</v>
      </c>
      <c r="M5" s="44">
        <v>151223.95</v>
      </c>
      <c r="N5" s="11">
        <f aca="true" t="shared" si="0" ref="N5:N20">SUM(B5:M5)</f>
        <v>3024478.9999999995</v>
      </c>
      <c r="O5" s="44">
        <v>3024479</v>
      </c>
    </row>
    <row r="6" spans="1:15" ht="12.75">
      <c r="A6" s="12" t="s">
        <v>43</v>
      </c>
      <c r="B6" s="43">
        <v>203306.58333333334</v>
      </c>
      <c r="C6" s="43">
        <v>203306.58333333334</v>
      </c>
      <c r="D6" s="43">
        <v>203306.58333333334</v>
      </c>
      <c r="E6" s="43">
        <v>203306.58333333334</v>
      </c>
      <c r="F6" s="43">
        <v>203306.58333333334</v>
      </c>
      <c r="G6" s="43">
        <v>203306.58333333334</v>
      </c>
      <c r="H6" s="43">
        <v>203306.58333333334</v>
      </c>
      <c r="I6" s="43">
        <v>203306.58333333334</v>
      </c>
      <c r="J6" s="43">
        <v>203306.58333333334</v>
      </c>
      <c r="K6" s="43">
        <v>203306.58333333334</v>
      </c>
      <c r="L6" s="43">
        <v>203306.58333333334</v>
      </c>
      <c r="M6" s="43">
        <v>203306.58333333334</v>
      </c>
      <c r="N6" s="11">
        <f t="shared" si="0"/>
        <v>2439679</v>
      </c>
      <c r="O6" s="43">
        <v>2439679</v>
      </c>
    </row>
    <row r="7" spans="1:15" ht="12.75">
      <c r="A7" s="12" t="s">
        <v>17</v>
      </c>
      <c r="B7" s="51">
        <v>198000</v>
      </c>
      <c r="C7" s="51">
        <v>0</v>
      </c>
      <c r="D7" s="51">
        <v>2000</v>
      </c>
      <c r="E7" s="51">
        <v>0</v>
      </c>
      <c r="F7" s="51">
        <v>2000</v>
      </c>
      <c r="G7" s="51">
        <v>0</v>
      </c>
      <c r="H7" s="51">
        <v>2000</v>
      </c>
      <c r="I7" s="51">
        <v>0</v>
      </c>
      <c r="J7" s="51">
        <v>2000</v>
      </c>
      <c r="K7" s="51">
        <v>0</v>
      </c>
      <c r="L7" s="51">
        <v>0</v>
      </c>
      <c r="M7" s="51">
        <v>0</v>
      </c>
      <c r="N7" s="52">
        <f t="shared" si="0"/>
        <v>206000</v>
      </c>
      <c r="O7" s="44">
        <v>206000</v>
      </c>
    </row>
    <row r="8" spans="1:15" ht="12.75">
      <c r="A8" s="12" t="s">
        <v>60</v>
      </c>
      <c r="B8" s="45">
        <v>0</v>
      </c>
      <c r="C8" s="45">
        <v>0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52">
        <f t="shared" si="0"/>
        <v>0</v>
      </c>
      <c r="O8" s="45">
        <v>0</v>
      </c>
    </row>
    <row r="9" spans="1:15" ht="12.75">
      <c r="A9" s="12" t="s">
        <v>46</v>
      </c>
      <c r="B9" s="43">
        <v>850793.72</v>
      </c>
      <c r="C9" s="43">
        <v>425396.86</v>
      </c>
      <c r="D9" s="43">
        <v>425396.86</v>
      </c>
      <c r="E9" s="43">
        <v>425396.86</v>
      </c>
      <c r="F9" s="43">
        <v>425396.86</v>
      </c>
      <c r="G9" s="43">
        <v>425396.86</v>
      </c>
      <c r="H9" s="43">
        <v>425396.86</v>
      </c>
      <c r="I9" s="43">
        <v>425396.86</v>
      </c>
      <c r="J9" s="43">
        <v>607709.8</v>
      </c>
      <c r="K9" s="43">
        <v>425396.86</v>
      </c>
      <c r="L9" s="43">
        <v>607709.8</v>
      </c>
      <c r="M9" s="43">
        <v>607709.8</v>
      </c>
      <c r="N9" s="52">
        <f t="shared" si="0"/>
        <v>6077097.999999999</v>
      </c>
      <c r="O9" s="43">
        <v>6077098</v>
      </c>
    </row>
    <row r="10" spans="1:15" ht="12.75">
      <c r="A10" s="12" t="s">
        <v>47</v>
      </c>
      <c r="B10" s="43">
        <v>0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52">
        <f t="shared" si="0"/>
        <v>0</v>
      </c>
      <c r="O10" s="43">
        <v>0</v>
      </c>
    </row>
    <row r="11" spans="1:15" ht="12.75">
      <c r="A11" s="12" t="s">
        <v>45</v>
      </c>
      <c r="B11" s="43">
        <v>767283.15</v>
      </c>
      <c r="C11" s="43">
        <v>306913.26</v>
      </c>
      <c r="D11" s="43">
        <v>306913.26</v>
      </c>
      <c r="E11" s="43">
        <v>306913.26</v>
      </c>
      <c r="F11" s="43">
        <v>306913.26</v>
      </c>
      <c r="G11" s="43">
        <v>306913.26</v>
      </c>
      <c r="H11" s="43">
        <v>306913.26</v>
      </c>
      <c r="I11" s="43">
        <v>358065.47</v>
      </c>
      <c r="J11" s="43">
        <v>664978.73</v>
      </c>
      <c r="K11" s="43">
        <v>358065.47</v>
      </c>
      <c r="L11" s="43">
        <v>511522.1</v>
      </c>
      <c r="M11" s="43">
        <v>613826.52</v>
      </c>
      <c r="N11" s="52">
        <f t="shared" si="0"/>
        <v>5115221</v>
      </c>
      <c r="O11" s="43">
        <v>5115221</v>
      </c>
    </row>
    <row r="12" spans="1:15" ht="12.75">
      <c r="A12" s="9" t="s">
        <v>44</v>
      </c>
      <c r="B12" s="43">
        <v>643874.56</v>
      </c>
      <c r="C12" s="43">
        <v>643874.56</v>
      </c>
      <c r="D12" s="43">
        <v>643874.56</v>
      </c>
      <c r="E12" s="43">
        <v>643874.56</v>
      </c>
      <c r="F12" s="43">
        <v>827838.72</v>
      </c>
      <c r="G12" s="43">
        <v>827838.72</v>
      </c>
      <c r="H12" s="43">
        <v>551892.48</v>
      </c>
      <c r="I12" s="43">
        <v>551892.48</v>
      </c>
      <c r="J12" s="43">
        <v>551892.48</v>
      </c>
      <c r="K12" s="43">
        <v>735856.64</v>
      </c>
      <c r="L12" s="43">
        <v>735856.64</v>
      </c>
      <c r="M12" s="43">
        <v>1839641.6</v>
      </c>
      <c r="N12" s="52">
        <f t="shared" si="0"/>
        <v>9198208</v>
      </c>
      <c r="O12" s="43">
        <v>9198208</v>
      </c>
    </row>
    <row r="13" spans="1:15" ht="12.75">
      <c r="A13" s="9" t="s">
        <v>59</v>
      </c>
      <c r="B13" s="43">
        <v>47918.43</v>
      </c>
      <c r="C13" s="43">
        <v>47918.43</v>
      </c>
      <c r="D13" s="43">
        <v>47918.43</v>
      </c>
      <c r="E13" s="43">
        <v>47918.43</v>
      </c>
      <c r="F13" s="43">
        <v>68454.9</v>
      </c>
      <c r="G13" s="43">
        <v>68454.9</v>
      </c>
      <c r="H13" s="43">
        <v>54763.92</v>
      </c>
      <c r="I13" s="43">
        <v>54763.92</v>
      </c>
      <c r="J13" s="43">
        <v>54763.92</v>
      </c>
      <c r="K13" s="43">
        <v>54763.92</v>
      </c>
      <c r="L13" s="43">
        <v>54763.92</v>
      </c>
      <c r="M13" s="43">
        <v>82145.88</v>
      </c>
      <c r="N13" s="52">
        <f t="shared" si="0"/>
        <v>684549</v>
      </c>
      <c r="O13" s="43">
        <v>684549</v>
      </c>
    </row>
    <row r="14" spans="1:15" ht="12.75">
      <c r="A14" s="9" t="s">
        <v>61</v>
      </c>
      <c r="B14" s="43">
        <v>0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52">
        <f t="shared" si="0"/>
        <v>0</v>
      </c>
      <c r="O14" s="43">
        <v>0</v>
      </c>
    </row>
    <row r="15" spans="1:15" ht="12.75">
      <c r="A15" s="12" t="s">
        <v>40</v>
      </c>
      <c r="B15" s="43">
        <v>446.4392009333556</v>
      </c>
      <c r="C15" s="43">
        <v>446.4392009333556</v>
      </c>
      <c r="D15" s="43">
        <v>446.4392009333556</v>
      </c>
      <c r="E15" s="43">
        <v>446.4392009333556</v>
      </c>
      <c r="F15" s="43">
        <v>446.4392009333556</v>
      </c>
      <c r="G15" s="43">
        <v>446.4392009333556</v>
      </c>
      <c r="H15" s="43">
        <v>446.4392009333556</v>
      </c>
      <c r="I15" s="43">
        <v>446.4392009333556</v>
      </c>
      <c r="J15" s="43">
        <v>25089.16878973309</v>
      </c>
      <c r="K15" s="43">
        <v>446.4392009333556</v>
      </c>
      <c r="L15" s="43">
        <v>446.4392009333556</v>
      </c>
      <c r="M15" s="43">
        <v>446.4392009333556</v>
      </c>
      <c r="N15" s="52">
        <f t="shared" si="0"/>
        <v>30000.000000000004</v>
      </c>
      <c r="O15" s="43">
        <v>30000</v>
      </c>
    </row>
    <row r="16" spans="1:15" ht="12.75">
      <c r="A16" s="12" t="s">
        <v>62</v>
      </c>
      <c r="B16" s="43">
        <v>59027.54</v>
      </c>
      <c r="C16" s="43">
        <v>59027.54</v>
      </c>
      <c r="D16" s="43">
        <v>59027.54</v>
      </c>
      <c r="E16" s="43">
        <v>59027.54</v>
      </c>
      <c r="F16" s="43">
        <v>4540.58</v>
      </c>
      <c r="G16" s="43">
        <v>108973.92</v>
      </c>
      <c r="H16" s="43">
        <v>4540.58</v>
      </c>
      <c r="I16" s="43">
        <v>4540.58</v>
      </c>
      <c r="J16" s="43">
        <v>81730.44</v>
      </c>
      <c r="K16" s="43">
        <v>4540.58</v>
      </c>
      <c r="L16" s="43">
        <v>4540.58</v>
      </c>
      <c r="M16" s="43">
        <v>4540.58</v>
      </c>
      <c r="N16" s="52">
        <f t="shared" si="0"/>
        <v>454058.00000000006</v>
      </c>
      <c r="O16" s="43">
        <v>454058</v>
      </c>
    </row>
    <row r="17" spans="1:15" ht="12.75">
      <c r="A17" s="12" t="s">
        <v>63</v>
      </c>
      <c r="B17" s="43">
        <v>1090476.75</v>
      </c>
      <c r="C17" s="43">
        <v>1090476.75</v>
      </c>
      <c r="D17" s="43">
        <v>1090476.75</v>
      </c>
      <c r="E17" s="43">
        <v>1090476.75</v>
      </c>
      <c r="F17" s="43">
        <v>396537</v>
      </c>
      <c r="G17" s="43">
        <v>1982685</v>
      </c>
      <c r="H17" s="43">
        <v>297402.75</v>
      </c>
      <c r="I17" s="43">
        <v>297402.75</v>
      </c>
      <c r="J17" s="43">
        <v>1982685</v>
      </c>
      <c r="K17" s="43">
        <v>198268.5</v>
      </c>
      <c r="L17" s="43">
        <v>297402.75</v>
      </c>
      <c r="M17" s="43">
        <v>99134.25</v>
      </c>
      <c r="N17" s="52">
        <f t="shared" si="0"/>
        <v>9913425</v>
      </c>
      <c r="O17" s="43">
        <v>9913425</v>
      </c>
    </row>
    <row r="18" spans="1:15" ht="12.75">
      <c r="A18" s="12" t="s">
        <v>48</v>
      </c>
      <c r="B18" s="43"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52">
        <f t="shared" si="0"/>
        <v>0</v>
      </c>
      <c r="O18" s="43">
        <v>0</v>
      </c>
    </row>
    <row r="19" spans="1:15" ht="12.75">
      <c r="A19" s="12" t="s">
        <v>49</v>
      </c>
      <c r="B19" s="43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52">
        <f t="shared" si="0"/>
        <v>0</v>
      </c>
      <c r="O19" s="43">
        <v>0</v>
      </c>
    </row>
    <row r="20" spans="1:15" ht="13.5" thickBot="1">
      <c r="A20" s="50" t="s">
        <v>26</v>
      </c>
      <c r="B20" s="53">
        <f aca="true" t="shared" si="1" ref="B20:M20">+B9+B10</f>
        <v>850793.72</v>
      </c>
      <c r="C20" s="53">
        <f t="shared" si="1"/>
        <v>425396.86</v>
      </c>
      <c r="D20" s="53">
        <f t="shared" si="1"/>
        <v>425396.86</v>
      </c>
      <c r="E20" s="53">
        <f t="shared" si="1"/>
        <v>425396.86</v>
      </c>
      <c r="F20" s="53">
        <f t="shared" si="1"/>
        <v>425396.86</v>
      </c>
      <c r="G20" s="53">
        <f t="shared" si="1"/>
        <v>425396.86</v>
      </c>
      <c r="H20" s="53">
        <f t="shared" si="1"/>
        <v>425396.86</v>
      </c>
      <c r="I20" s="53">
        <f t="shared" si="1"/>
        <v>425396.86</v>
      </c>
      <c r="J20" s="53">
        <f t="shared" si="1"/>
        <v>607709.8</v>
      </c>
      <c r="K20" s="53">
        <f t="shared" si="1"/>
        <v>425396.86</v>
      </c>
      <c r="L20" s="53">
        <f t="shared" si="1"/>
        <v>607709.8</v>
      </c>
      <c r="M20" s="53">
        <f t="shared" si="1"/>
        <v>607709.8</v>
      </c>
      <c r="N20" s="52">
        <f t="shared" si="0"/>
        <v>6077097.999999999</v>
      </c>
      <c r="O20" s="43">
        <v>-6077098</v>
      </c>
    </row>
    <row r="21" spans="1:15" ht="13.5" thickBot="1">
      <c r="A21" s="19" t="s">
        <v>27</v>
      </c>
      <c r="B21" s="55">
        <f aca="true" t="shared" si="2" ref="B21:N21">SUM(B11:B20)</f>
        <v>3459820.5892009335</v>
      </c>
      <c r="C21" s="55">
        <f t="shared" si="2"/>
        <v>2574053.839200933</v>
      </c>
      <c r="D21" s="55">
        <f t="shared" si="2"/>
        <v>2574053.839200933</v>
      </c>
      <c r="E21" s="55">
        <f t="shared" si="2"/>
        <v>2574053.839200933</v>
      </c>
      <c r="F21" s="55">
        <f t="shared" si="2"/>
        <v>2030127.7592009334</v>
      </c>
      <c r="G21" s="55">
        <f t="shared" si="2"/>
        <v>3720709.099200933</v>
      </c>
      <c r="H21" s="55">
        <f t="shared" si="2"/>
        <v>1641356.2892009332</v>
      </c>
      <c r="I21" s="55">
        <f t="shared" si="2"/>
        <v>1692508.4992009331</v>
      </c>
      <c r="J21" s="55">
        <f t="shared" si="2"/>
        <v>3968849.5387897333</v>
      </c>
      <c r="K21" s="55">
        <f t="shared" si="2"/>
        <v>1777338.4092009333</v>
      </c>
      <c r="L21" s="55">
        <f t="shared" si="2"/>
        <v>2212242.229200933</v>
      </c>
      <c r="M21" s="55">
        <f t="shared" si="2"/>
        <v>3247445.069200934</v>
      </c>
      <c r="N21" s="61">
        <f t="shared" si="2"/>
        <v>31472559</v>
      </c>
      <c r="O21" s="43">
        <f>SUM(O5:O20)</f>
        <v>31065619</v>
      </c>
    </row>
    <row r="22" spans="1:14" ht="18.75">
      <c r="A22" s="49" t="s">
        <v>28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7"/>
    </row>
    <row r="23" spans="1:15" ht="12.75">
      <c r="A23" s="9" t="s">
        <v>29</v>
      </c>
      <c r="B23" s="43">
        <f>(+(1+0.5+1/24)/13)*8700057</f>
        <v>1031737.5288461539</v>
      </c>
      <c r="C23" s="43">
        <f aca="true" t="shared" si="3" ref="C23:M23">(+(1+1/24)/13)*8700057</f>
        <v>697119.951923077</v>
      </c>
      <c r="D23" s="43">
        <f t="shared" si="3"/>
        <v>697119.951923077</v>
      </c>
      <c r="E23" s="43">
        <f t="shared" si="3"/>
        <v>697119.951923077</v>
      </c>
      <c r="F23" s="43">
        <f t="shared" si="3"/>
        <v>697119.951923077</v>
      </c>
      <c r="G23" s="43">
        <f t="shared" si="3"/>
        <v>697119.951923077</v>
      </c>
      <c r="H23" s="43">
        <f t="shared" si="3"/>
        <v>697119.951923077</v>
      </c>
      <c r="I23" s="43">
        <f t="shared" si="3"/>
        <v>697119.951923077</v>
      </c>
      <c r="J23" s="43">
        <f t="shared" si="3"/>
        <v>697119.951923077</v>
      </c>
      <c r="K23" s="43">
        <f t="shared" si="3"/>
        <v>697119.951923077</v>
      </c>
      <c r="L23" s="43">
        <f t="shared" si="3"/>
        <v>697119.951923077</v>
      </c>
      <c r="M23" s="43">
        <f t="shared" si="3"/>
        <v>697119.951923077</v>
      </c>
      <c r="N23" s="52">
        <f aca="true" t="shared" si="4" ref="N23:N38">SUM(B23:M23)</f>
        <v>8700057</v>
      </c>
      <c r="O23" s="43">
        <v>8700057</v>
      </c>
    </row>
    <row r="24" spans="1:15" ht="12.75">
      <c r="A24" s="12" t="s">
        <v>30</v>
      </c>
      <c r="B24" s="43">
        <f>(+(1+0.5+1/24)/13)*2769191</f>
        <v>328397.6506410257</v>
      </c>
      <c r="C24" s="43">
        <f aca="true" t="shared" si="5" ref="C24:M24">(+(1+1/24)/13)*2769191</f>
        <v>221890.3044871795</v>
      </c>
      <c r="D24" s="43">
        <f t="shared" si="5"/>
        <v>221890.3044871795</v>
      </c>
      <c r="E24" s="43">
        <f t="shared" si="5"/>
        <v>221890.3044871795</v>
      </c>
      <c r="F24" s="43">
        <f t="shared" si="5"/>
        <v>221890.3044871795</v>
      </c>
      <c r="G24" s="43">
        <f t="shared" si="5"/>
        <v>221890.3044871795</v>
      </c>
      <c r="H24" s="43">
        <f t="shared" si="5"/>
        <v>221890.3044871795</v>
      </c>
      <c r="I24" s="43">
        <f t="shared" si="5"/>
        <v>221890.3044871795</v>
      </c>
      <c r="J24" s="43">
        <f t="shared" si="5"/>
        <v>221890.3044871795</v>
      </c>
      <c r="K24" s="43">
        <f t="shared" si="5"/>
        <v>221890.3044871795</v>
      </c>
      <c r="L24" s="43">
        <f t="shared" si="5"/>
        <v>221890.3044871795</v>
      </c>
      <c r="M24" s="43">
        <f t="shared" si="5"/>
        <v>221890.3044871795</v>
      </c>
      <c r="N24" s="52">
        <f t="shared" si="4"/>
        <v>2769191.0000000005</v>
      </c>
      <c r="O24" s="43">
        <v>2769191</v>
      </c>
    </row>
    <row r="25" spans="1:15" ht="12.75">
      <c r="A25" s="12" t="s">
        <v>50</v>
      </c>
      <c r="B25" s="43">
        <v>929390.15</v>
      </c>
      <c r="C25" s="43">
        <v>929390.15</v>
      </c>
      <c r="D25" s="43">
        <v>714915.5</v>
      </c>
      <c r="E25" s="43">
        <v>428949.3</v>
      </c>
      <c r="F25" s="43">
        <v>357457.75</v>
      </c>
      <c r="G25" s="43">
        <v>285966.2</v>
      </c>
      <c r="H25" s="43">
        <v>285966.2</v>
      </c>
      <c r="I25" s="43">
        <v>285966.2</v>
      </c>
      <c r="J25" s="43">
        <v>357457.75</v>
      </c>
      <c r="K25" s="43">
        <v>714915.5</v>
      </c>
      <c r="L25" s="43">
        <v>929390.15</v>
      </c>
      <c r="M25" s="43">
        <v>929390.15</v>
      </c>
      <c r="N25" s="52">
        <f t="shared" si="4"/>
        <v>7149155.000000001</v>
      </c>
      <c r="O25" s="43">
        <v>7149155</v>
      </c>
    </row>
    <row r="26" spans="1:15" ht="12.75">
      <c r="A26" s="9" t="s">
        <v>51</v>
      </c>
      <c r="B26" s="43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52">
        <f t="shared" si="4"/>
        <v>0</v>
      </c>
      <c r="O26" s="43">
        <v>0</v>
      </c>
    </row>
    <row r="27" spans="1:15" ht="12.75">
      <c r="A27" s="9" t="s">
        <v>52</v>
      </c>
      <c r="B27" s="43">
        <v>0</v>
      </c>
      <c r="C27" s="43">
        <v>0</v>
      </c>
      <c r="D27" s="43">
        <v>0</v>
      </c>
      <c r="E27" s="43">
        <v>6750</v>
      </c>
      <c r="F27" s="43">
        <v>0</v>
      </c>
      <c r="G27" s="43">
        <v>0</v>
      </c>
      <c r="H27" s="43">
        <v>6750</v>
      </c>
      <c r="I27" s="43">
        <v>0</v>
      </c>
      <c r="J27" s="43">
        <v>0</v>
      </c>
      <c r="K27" s="43">
        <v>6750</v>
      </c>
      <c r="L27" s="43">
        <v>0</v>
      </c>
      <c r="M27" s="43">
        <v>6750</v>
      </c>
      <c r="N27" s="52">
        <f t="shared" si="4"/>
        <v>27000</v>
      </c>
      <c r="O27" s="43">
        <v>27000</v>
      </c>
    </row>
    <row r="28" spans="1:15" ht="12.75">
      <c r="A28" s="9" t="s">
        <v>53</v>
      </c>
      <c r="B28" s="43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52">
        <f t="shared" si="4"/>
        <v>0</v>
      </c>
      <c r="O28" s="43">
        <v>0</v>
      </c>
    </row>
    <row r="29" spans="1:15" ht="12.75">
      <c r="A29" s="9" t="s">
        <v>54</v>
      </c>
      <c r="B29" s="43">
        <v>4975.98</v>
      </c>
      <c r="C29" s="43">
        <v>4975.98</v>
      </c>
      <c r="D29" s="43">
        <v>4975.98</v>
      </c>
      <c r="E29" s="43">
        <v>4975.98</v>
      </c>
      <c r="F29" s="43">
        <v>4975.98</v>
      </c>
      <c r="G29" s="43">
        <v>54735.78</v>
      </c>
      <c r="H29" s="43">
        <v>19903.92</v>
      </c>
      <c r="I29" s="43">
        <v>14927.94</v>
      </c>
      <c r="J29" s="43">
        <v>57223.77</v>
      </c>
      <c r="K29" s="43">
        <v>9951.96</v>
      </c>
      <c r="L29" s="43">
        <v>34831.86</v>
      </c>
      <c r="M29" s="43">
        <v>32343.87</v>
      </c>
      <c r="N29" s="52">
        <f t="shared" si="4"/>
        <v>248799</v>
      </c>
      <c r="O29" s="43">
        <v>248799</v>
      </c>
    </row>
    <row r="30" spans="1:15" ht="12.75">
      <c r="A30" s="9" t="s">
        <v>55</v>
      </c>
      <c r="B30" s="43">
        <v>400</v>
      </c>
      <c r="C30" s="43">
        <v>400</v>
      </c>
      <c r="D30" s="43">
        <v>120</v>
      </c>
      <c r="E30" s="43">
        <v>40</v>
      </c>
      <c r="F30" s="43">
        <v>40</v>
      </c>
      <c r="G30" s="43">
        <v>520</v>
      </c>
      <c r="H30" s="43">
        <v>480</v>
      </c>
      <c r="I30" s="43">
        <v>80</v>
      </c>
      <c r="J30" s="43">
        <v>480</v>
      </c>
      <c r="K30" s="43">
        <v>480</v>
      </c>
      <c r="L30" s="43">
        <v>480</v>
      </c>
      <c r="M30" s="43">
        <v>480</v>
      </c>
      <c r="N30" s="52">
        <f t="shared" si="4"/>
        <v>4000</v>
      </c>
      <c r="O30" s="43">
        <v>4000</v>
      </c>
    </row>
    <row r="31" spans="1:15" ht="12.75">
      <c r="A31" s="12" t="s">
        <v>33</v>
      </c>
      <c r="B31" s="43">
        <v>25434.5</v>
      </c>
      <c r="C31" s="43">
        <v>22891.05</v>
      </c>
      <c r="D31" s="43">
        <v>22891.05</v>
      </c>
      <c r="E31" s="43">
        <v>22891.05</v>
      </c>
      <c r="F31" s="43">
        <v>22891.05</v>
      </c>
      <c r="G31" s="43">
        <v>22891.05</v>
      </c>
      <c r="H31" s="43">
        <v>20347.6</v>
      </c>
      <c r="I31" s="43">
        <v>20347.6</v>
      </c>
      <c r="J31" s="43">
        <v>20347.6</v>
      </c>
      <c r="K31" s="43">
        <v>20347.6</v>
      </c>
      <c r="L31" s="43">
        <v>20347.6</v>
      </c>
      <c r="M31" s="43">
        <v>12717.25</v>
      </c>
      <c r="N31" s="52">
        <f t="shared" si="4"/>
        <v>254345.00000000003</v>
      </c>
      <c r="O31" s="43">
        <v>254345</v>
      </c>
    </row>
    <row r="32" spans="1:15" ht="12.75">
      <c r="A32" s="12" t="s">
        <v>34</v>
      </c>
      <c r="B32" s="43">
        <v>2617.25</v>
      </c>
      <c r="C32" s="43">
        <v>2617.25</v>
      </c>
      <c r="D32" s="43">
        <v>2617.25</v>
      </c>
      <c r="E32" s="43">
        <v>2617.25</v>
      </c>
      <c r="F32" s="43">
        <v>2617.25</v>
      </c>
      <c r="G32" s="43">
        <v>10469</v>
      </c>
      <c r="H32" s="43">
        <v>2093.8</v>
      </c>
      <c r="I32" s="43">
        <v>2617.25</v>
      </c>
      <c r="J32" s="43">
        <v>2093.8</v>
      </c>
      <c r="K32" s="43">
        <v>2093.8</v>
      </c>
      <c r="L32" s="43">
        <v>10469</v>
      </c>
      <c r="M32" s="43">
        <v>9422.1</v>
      </c>
      <c r="N32" s="52">
        <f t="shared" si="4"/>
        <v>52344.99999999999</v>
      </c>
      <c r="O32" s="43">
        <v>52345</v>
      </c>
    </row>
    <row r="33" spans="1:15" ht="12.75">
      <c r="A33" s="12" t="s">
        <v>35</v>
      </c>
      <c r="B33" s="43">
        <v>139791.6</v>
      </c>
      <c r="C33" s="43">
        <v>139791.6</v>
      </c>
      <c r="D33" s="43">
        <v>139791.6</v>
      </c>
      <c r="E33" s="43">
        <v>163090.2</v>
      </c>
      <c r="F33" s="43">
        <v>163090.2</v>
      </c>
      <c r="G33" s="43">
        <v>465972</v>
      </c>
      <c r="H33" s="43">
        <v>232986</v>
      </c>
      <c r="I33" s="43">
        <v>139791.6</v>
      </c>
      <c r="J33" s="43">
        <v>232986</v>
      </c>
      <c r="K33" s="43">
        <v>139791.6</v>
      </c>
      <c r="L33" s="43">
        <v>139791.6</v>
      </c>
      <c r="M33" s="43">
        <v>232986</v>
      </c>
      <c r="N33" s="52">
        <f t="shared" si="4"/>
        <v>2329860</v>
      </c>
      <c r="O33" s="43">
        <v>2329860</v>
      </c>
    </row>
    <row r="34" spans="1:15" ht="12.75">
      <c r="A34" s="9" t="s">
        <v>56</v>
      </c>
      <c r="B34" s="43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52">
        <f t="shared" si="4"/>
        <v>0</v>
      </c>
      <c r="O34" s="43">
        <v>0</v>
      </c>
    </row>
    <row r="35" spans="1:15" ht="12.75">
      <c r="A35" s="12" t="s">
        <v>37</v>
      </c>
      <c r="B35" s="43">
        <v>0</v>
      </c>
      <c r="C35" s="43">
        <v>0</v>
      </c>
      <c r="D35" s="43">
        <v>57627.6</v>
      </c>
      <c r="E35" s="43">
        <v>115255.2</v>
      </c>
      <c r="F35" s="43">
        <v>115255.2</v>
      </c>
      <c r="G35" s="43">
        <v>307347.2</v>
      </c>
      <c r="H35" s="43">
        <v>57627.6</v>
      </c>
      <c r="I35" s="43">
        <v>57627.6</v>
      </c>
      <c r="J35" s="43">
        <v>57627.6</v>
      </c>
      <c r="K35" s="43">
        <v>38418.4</v>
      </c>
      <c r="L35" s="43">
        <v>76836.8</v>
      </c>
      <c r="M35" s="43">
        <v>76836.8</v>
      </c>
      <c r="N35" s="52">
        <f t="shared" si="4"/>
        <v>960460</v>
      </c>
      <c r="O35" s="43">
        <v>960460</v>
      </c>
    </row>
    <row r="36" spans="1:15" ht="12.75">
      <c r="A36" s="9" t="s">
        <v>57</v>
      </c>
      <c r="B36" s="43">
        <v>4170.35</v>
      </c>
      <c r="C36" s="43">
        <v>8340.7</v>
      </c>
      <c r="D36" s="43">
        <v>20851.75</v>
      </c>
      <c r="E36" s="43">
        <v>4170.35</v>
      </c>
      <c r="F36" s="43">
        <v>8340.7</v>
      </c>
      <c r="G36" s="43">
        <v>4170.35</v>
      </c>
      <c r="H36" s="43">
        <v>4170.35</v>
      </c>
      <c r="I36" s="43">
        <v>8340.7</v>
      </c>
      <c r="J36" s="43">
        <v>4170.35</v>
      </c>
      <c r="K36" s="43">
        <v>4170.35</v>
      </c>
      <c r="L36" s="43">
        <v>8340.7</v>
      </c>
      <c r="M36" s="43">
        <v>4170.35</v>
      </c>
      <c r="N36" s="52">
        <f t="shared" si="4"/>
        <v>83407.00000000001</v>
      </c>
      <c r="O36" s="43">
        <v>83407</v>
      </c>
    </row>
    <row r="37" spans="1:15" ht="13.5" thickBot="1">
      <c r="A37" s="9" t="s">
        <v>58</v>
      </c>
      <c r="B37" s="43">
        <v>0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52">
        <f t="shared" si="4"/>
        <v>0</v>
      </c>
      <c r="O37" s="43">
        <v>0</v>
      </c>
    </row>
    <row r="38" spans="1:15" ht="13.5" thickBot="1">
      <c r="A38" s="19" t="s">
        <v>38</v>
      </c>
      <c r="B38" s="60">
        <f aca="true" t="shared" si="6" ref="B38:M38">SUM(B23:B37)-B27-B26</f>
        <v>2466915.0094871796</v>
      </c>
      <c r="C38" s="38">
        <f t="shared" si="6"/>
        <v>2027416.9864102565</v>
      </c>
      <c r="D38" s="38">
        <f t="shared" si="6"/>
        <v>1882800.9864102567</v>
      </c>
      <c r="E38" s="38">
        <f t="shared" si="6"/>
        <v>1660999.5864102566</v>
      </c>
      <c r="F38" s="38">
        <f t="shared" si="6"/>
        <v>1593678.3864102564</v>
      </c>
      <c r="G38" s="38">
        <f t="shared" si="6"/>
        <v>2071081.8364102566</v>
      </c>
      <c r="H38" s="38">
        <f t="shared" si="6"/>
        <v>1542585.7264102567</v>
      </c>
      <c r="I38" s="38">
        <f t="shared" si="6"/>
        <v>1448709.1464102566</v>
      </c>
      <c r="J38" s="38">
        <f t="shared" si="6"/>
        <v>1651397.1264102568</v>
      </c>
      <c r="K38" s="38">
        <f t="shared" si="6"/>
        <v>1849179.4664102567</v>
      </c>
      <c r="L38" s="38">
        <f t="shared" si="6"/>
        <v>2139497.966410257</v>
      </c>
      <c r="M38" s="38">
        <f t="shared" si="6"/>
        <v>2217356.7764102565</v>
      </c>
      <c r="N38" s="39">
        <f t="shared" si="4"/>
        <v>22551619</v>
      </c>
      <c r="O38" s="43">
        <f>SUM(O23:O37)</f>
        <v>22578619</v>
      </c>
    </row>
    <row r="43" ht="12.75">
      <c r="E43">
        <f>100/12</f>
        <v>8.333333333333334</v>
      </c>
    </row>
  </sheetData>
  <mergeCells count="2">
    <mergeCell ref="A1:N1"/>
    <mergeCell ref="M2:N2"/>
  </mergeCells>
  <printOptions horizontalCentered="1" verticalCentered="1"/>
  <pageMargins left="0.3937007874015748" right="0.3937007874015748" top="0.7086614173228347" bottom="0.5905511811023623" header="0.4330708661417323" footer="0.31496062992125984"/>
  <pageSetup firstPageNumber="15" useFirstPageNumber="1" horizontalDpi="600" verticalDpi="600" orientation="landscape" paperSize="9" scale="86" r:id="rId1"/>
  <headerFooter alignWithMargins="0">
    <oddHeader>&amp;R&amp;"Times New Roman CE,Normál"A költségvetési rendelet-tervezet 9.sz. melléklete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43"/>
  <sheetViews>
    <sheetView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35" sqref="G35"/>
    </sheetView>
  </sheetViews>
  <sheetFormatPr defaultColWidth="9.00390625" defaultRowHeight="12.75"/>
  <cols>
    <col min="1" max="1" width="28.00390625" style="0" customWidth="1"/>
    <col min="2" max="2" width="13.875" style="0" bestFit="1" customWidth="1"/>
    <col min="3" max="4" width="13.125" style="0" bestFit="1" customWidth="1"/>
    <col min="5" max="13" width="9.375" style="0" customWidth="1"/>
    <col min="14" max="14" width="9.875" style="0" bestFit="1" customWidth="1"/>
    <col min="15" max="15" width="12.625" style="43" customWidth="1"/>
    <col min="16" max="16" width="11.75390625" style="0" bestFit="1" customWidth="1"/>
    <col min="17" max="17" width="12.00390625" style="0" customWidth="1"/>
    <col min="18" max="18" width="9.25390625" style="0" bestFit="1" customWidth="1"/>
  </cols>
  <sheetData>
    <row r="1" spans="1:14" ht="18.75">
      <c r="A1" s="71" t="s">
        <v>42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6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73" t="s">
        <v>0</v>
      </c>
      <c r="N2" s="73"/>
    </row>
    <row r="3" spans="1:14" ht="16.5" thickBot="1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5" t="s">
        <v>14</v>
      </c>
    </row>
    <row r="4" spans="1:14" ht="18.75">
      <c r="A4" s="46" t="s">
        <v>15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1:15" ht="12.75">
      <c r="A5" s="9" t="s">
        <v>16</v>
      </c>
      <c r="B5" s="44">
        <f>ROUND('január (2)'!B5,0)</f>
        <v>272203</v>
      </c>
      <c r="C5" s="44">
        <f>ROUND('január (2)'!C5,0)</f>
        <v>272203</v>
      </c>
      <c r="D5" s="44">
        <f>ROUND('január (2)'!D5,0)</f>
        <v>272203</v>
      </c>
      <c r="E5" s="44">
        <f>ROUND('január (2)'!E5,0)</f>
        <v>272203</v>
      </c>
      <c r="F5" s="44">
        <f>ROUND('január (2)'!F5,0)</f>
        <v>272203</v>
      </c>
      <c r="G5" s="44">
        <f>ROUND('január (2)'!G5,0)</f>
        <v>302448</v>
      </c>
      <c r="H5" s="44">
        <f>ROUND('január (2)'!H5,0)</f>
        <v>241958</v>
      </c>
      <c r="I5" s="44">
        <f>ROUND('január (2)'!I5,0)</f>
        <v>241958</v>
      </c>
      <c r="J5" s="44">
        <f>ROUND('január (2)'!J5,0)</f>
        <v>241958</v>
      </c>
      <c r="K5" s="44">
        <f>ROUND('január (2)'!K5,0)</f>
        <v>241958</v>
      </c>
      <c r="L5" s="44">
        <f>ROUND('január (2)'!L5,0)</f>
        <v>241958</v>
      </c>
      <c r="M5" s="44">
        <f>ROUND('január (2)'!M5,0)+2</f>
        <v>151226</v>
      </c>
      <c r="N5" s="11">
        <f aca="true" t="shared" si="0" ref="N5:N20">SUM(B5:M5)</f>
        <v>3024479</v>
      </c>
      <c r="O5" s="44">
        <v>3024479</v>
      </c>
    </row>
    <row r="6" spans="1:15" ht="12.75">
      <c r="A6" s="12" t="s">
        <v>43</v>
      </c>
      <c r="B6" s="44">
        <f>ROUND('január (2)'!B6,0)</f>
        <v>203307</v>
      </c>
      <c r="C6" s="44">
        <f>ROUND('január (2)'!C6,0)</f>
        <v>203307</v>
      </c>
      <c r="D6" s="44">
        <f>ROUND('január (2)'!D6,0)</f>
        <v>203307</v>
      </c>
      <c r="E6" s="44">
        <f>ROUND('január (2)'!E6,0)</f>
        <v>203307</v>
      </c>
      <c r="F6" s="44">
        <f>ROUND('január (2)'!F6,0)</f>
        <v>203307</v>
      </c>
      <c r="G6" s="44">
        <f>ROUND('január (2)'!G6,0)</f>
        <v>203307</v>
      </c>
      <c r="H6" s="44">
        <f>ROUND('január (2)'!H6,0)</f>
        <v>203307</v>
      </c>
      <c r="I6" s="44">
        <f>ROUND('január (2)'!I6,0)</f>
        <v>203307</v>
      </c>
      <c r="J6" s="44">
        <f>ROUND('január (2)'!J6,0)</f>
        <v>203307</v>
      </c>
      <c r="K6" s="44">
        <f>ROUND('január (2)'!K6,0)</f>
        <v>203307</v>
      </c>
      <c r="L6" s="44">
        <f>ROUND('január (2)'!L6,0)</f>
        <v>203307</v>
      </c>
      <c r="M6" s="44">
        <f>ROUND('január (2)'!M6,0)-5</f>
        <v>203302</v>
      </c>
      <c r="N6" s="11">
        <f t="shared" si="0"/>
        <v>2439679</v>
      </c>
      <c r="O6" s="43">
        <v>2439679</v>
      </c>
    </row>
    <row r="7" spans="1:15" ht="12.75">
      <c r="A7" s="12" t="s">
        <v>17</v>
      </c>
      <c r="B7" s="44">
        <f>ROUND('január (2)'!B7,0)</f>
        <v>198000</v>
      </c>
      <c r="C7" s="44">
        <f>ROUND('január (2)'!C7,0)</f>
        <v>0</v>
      </c>
      <c r="D7" s="44">
        <f>ROUND('január (2)'!D7,0)</f>
        <v>2000</v>
      </c>
      <c r="E7" s="44">
        <f>ROUND('január (2)'!E7,0)</f>
        <v>0</v>
      </c>
      <c r="F7" s="44">
        <f>ROUND('január (2)'!F7,0)</f>
        <v>2000</v>
      </c>
      <c r="G7" s="44">
        <f>ROUND('január (2)'!G7,0)</f>
        <v>0</v>
      </c>
      <c r="H7" s="44">
        <f>ROUND('január (2)'!H7,0)</f>
        <v>2000</v>
      </c>
      <c r="I7" s="44">
        <f>ROUND('január (2)'!I7,0)</f>
        <v>0</v>
      </c>
      <c r="J7" s="44">
        <f>ROUND('január (2)'!J7,0)</f>
        <v>2000</v>
      </c>
      <c r="K7" s="44">
        <f>ROUND('január (2)'!K7,0)</f>
        <v>0</v>
      </c>
      <c r="L7" s="44">
        <f>ROUND('január (2)'!L7,0)</f>
        <v>0</v>
      </c>
      <c r="M7" s="44">
        <f>ROUND('január (2)'!M7,0)</f>
        <v>0</v>
      </c>
      <c r="N7" s="52">
        <f t="shared" si="0"/>
        <v>206000</v>
      </c>
      <c r="O7" s="44">
        <v>206000</v>
      </c>
    </row>
    <row r="8" spans="1:15" ht="12.75">
      <c r="A8" s="12" t="s">
        <v>60</v>
      </c>
      <c r="B8" s="44">
        <f>ROUND('január (2)'!B8,0)</f>
        <v>0</v>
      </c>
      <c r="C8" s="44">
        <f>ROUND('január (2)'!C8,0)</f>
        <v>0</v>
      </c>
      <c r="D8" s="44">
        <f>ROUND('január (2)'!D8,0)</f>
        <v>0</v>
      </c>
      <c r="E8" s="44">
        <f>ROUND('január (2)'!E8,0)</f>
        <v>0</v>
      </c>
      <c r="F8" s="44">
        <f>ROUND('január (2)'!F8,0)</f>
        <v>0</v>
      </c>
      <c r="G8" s="44">
        <f>ROUND('január (2)'!G8,0)</f>
        <v>0</v>
      </c>
      <c r="H8" s="44">
        <f>ROUND('január (2)'!H8,0)</f>
        <v>0</v>
      </c>
      <c r="I8" s="44">
        <f>ROUND('január (2)'!I8,0)</f>
        <v>0</v>
      </c>
      <c r="J8" s="44">
        <f>ROUND('január (2)'!J8,0)</f>
        <v>0</v>
      </c>
      <c r="K8" s="44">
        <f>ROUND('január (2)'!K8,0)</f>
        <v>0</v>
      </c>
      <c r="L8" s="44">
        <f>ROUND('január (2)'!L8,0)</f>
        <v>0</v>
      </c>
      <c r="M8" s="44">
        <f>ROUND('január (2)'!M8,0)</f>
        <v>0</v>
      </c>
      <c r="N8" s="52">
        <f t="shared" si="0"/>
        <v>0</v>
      </c>
      <c r="O8" s="45">
        <v>0</v>
      </c>
    </row>
    <row r="9" spans="1:15" ht="12.75">
      <c r="A9" s="12" t="s">
        <v>46</v>
      </c>
      <c r="B9" s="44">
        <f>ROUND('január (2)'!B9,0)</f>
        <v>850794</v>
      </c>
      <c r="C9" s="44">
        <f>ROUND('január (2)'!C9,0)</f>
        <v>425397</v>
      </c>
      <c r="D9" s="44">
        <f>ROUND('január (2)'!D9,0)</f>
        <v>425397</v>
      </c>
      <c r="E9" s="44">
        <f>ROUND('január (2)'!E9,0)</f>
        <v>425397</v>
      </c>
      <c r="F9" s="44">
        <f>ROUND('január (2)'!F9,0)</f>
        <v>425397</v>
      </c>
      <c r="G9" s="44">
        <f>ROUND('január (2)'!G9,0)</f>
        <v>425397</v>
      </c>
      <c r="H9" s="44">
        <f>ROUND('január (2)'!H9,0)</f>
        <v>425397</v>
      </c>
      <c r="I9" s="44">
        <f>ROUND('január (2)'!I9,0)</f>
        <v>425397</v>
      </c>
      <c r="J9" s="44">
        <f>ROUND('január (2)'!J9,0)</f>
        <v>607710</v>
      </c>
      <c r="K9" s="44">
        <f>ROUND('január (2)'!K9,0)</f>
        <v>425397</v>
      </c>
      <c r="L9" s="44">
        <f>ROUND('január (2)'!L9,0)</f>
        <v>607710</v>
      </c>
      <c r="M9" s="44">
        <f>ROUND('január (2)'!M9,0)-2</f>
        <v>607708</v>
      </c>
      <c r="N9" s="52">
        <f t="shared" si="0"/>
        <v>6077098</v>
      </c>
      <c r="O9" s="43">
        <v>6077098</v>
      </c>
    </row>
    <row r="10" spans="1:15" ht="12.75">
      <c r="A10" s="12" t="s">
        <v>47</v>
      </c>
      <c r="B10" s="44">
        <f>ROUND('január (2)'!B10,0)</f>
        <v>0</v>
      </c>
      <c r="C10" s="44">
        <f>ROUND('január (2)'!C10,0)</f>
        <v>0</v>
      </c>
      <c r="D10" s="44">
        <f>ROUND('január (2)'!D10,0)</f>
        <v>0</v>
      </c>
      <c r="E10" s="44">
        <f>ROUND('január (2)'!E10,0)</f>
        <v>0</v>
      </c>
      <c r="F10" s="44">
        <f>ROUND('január (2)'!F10,0)</f>
        <v>0</v>
      </c>
      <c r="G10" s="44">
        <f>ROUND('január (2)'!G10,0)</f>
        <v>0</v>
      </c>
      <c r="H10" s="44">
        <f>ROUND('január (2)'!H10,0)</f>
        <v>0</v>
      </c>
      <c r="I10" s="44">
        <f>ROUND('január (2)'!I10,0)</f>
        <v>0</v>
      </c>
      <c r="J10" s="44">
        <f>ROUND('január (2)'!J10,0)</f>
        <v>0</v>
      </c>
      <c r="K10" s="44">
        <f>ROUND('január (2)'!K10,0)</f>
        <v>0</v>
      </c>
      <c r="L10" s="44">
        <f>ROUND('január (2)'!L10,0)</f>
        <v>0</v>
      </c>
      <c r="M10" s="44">
        <f>ROUND('január (2)'!M10,0)</f>
        <v>0</v>
      </c>
      <c r="N10" s="52">
        <f t="shared" si="0"/>
        <v>0</v>
      </c>
      <c r="O10" s="43">
        <v>0</v>
      </c>
    </row>
    <row r="11" spans="1:15" ht="12.75">
      <c r="A11" s="12" t="s">
        <v>45</v>
      </c>
      <c r="B11" s="44">
        <f>ROUND('január (2)'!B11,0)</f>
        <v>767283</v>
      </c>
      <c r="C11" s="44">
        <f>ROUND('január (2)'!C11,0)</f>
        <v>306913</v>
      </c>
      <c r="D11" s="44">
        <f>ROUND('január (2)'!D11,0)</f>
        <v>306913</v>
      </c>
      <c r="E11" s="44">
        <f>ROUND('január (2)'!E11,0)</f>
        <v>306913</v>
      </c>
      <c r="F11" s="44">
        <f>ROUND('január (2)'!F11,0)</f>
        <v>306913</v>
      </c>
      <c r="G11" s="44">
        <f>ROUND('január (2)'!G11,0)</f>
        <v>306913</v>
      </c>
      <c r="H11" s="44">
        <f>ROUND('január (2)'!H11,0)</f>
        <v>306913</v>
      </c>
      <c r="I11" s="44">
        <f>ROUND('január (2)'!I11,0)</f>
        <v>358065</v>
      </c>
      <c r="J11" s="44">
        <f>ROUND('január (2)'!J11,0)</f>
        <v>664979</v>
      </c>
      <c r="K11" s="44">
        <f>ROUND('január (2)'!K11,0)</f>
        <v>358065</v>
      </c>
      <c r="L11" s="44">
        <f>ROUND('január (2)'!L11,0)</f>
        <v>511522</v>
      </c>
      <c r="M11" s="44">
        <f>ROUND('január (2)'!M11,0)+2</f>
        <v>613829</v>
      </c>
      <c r="N11" s="52">
        <f t="shared" si="0"/>
        <v>5115221</v>
      </c>
      <c r="O11" s="43">
        <v>5115221</v>
      </c>
    </row>
    <row r="12" spans="1:15" ht="12.75">
      <c r="A12" s="9" t="s">
        <v>44</v>
      </c>
      <c r="B12" s="44">
        <f>ROUND('január (2)'!B12,0)</f>
        <v>643875</v>
      </c>
      <c r="C12" s="44">
        <f>ROUND('január (2)'!C12,0)</f>
        <v>643875</v>
      </c>
      <c r="D12" s="44">
        <f>ROUND('január (2)'!D12,0)</f>
        <v>643875</v>
      </c>
      <c r="E12" s="44">
        <f>ROUND('január (2)'!E12,0)</f>
        <v>643875</v>
      </c>
      <c r="F12" s="44">
        <f>ROUND('január (2)'!F12,0)</f>
        <v>827839</v>
      </c>
      <c r="G12" s="44">
        <f>ROUND('január (2)'!G12,0)</f>
        <v>827839</v>
      </c>
      <c r="H12" s="44">
        <f>ROUND('január (2)'!H12,0)</f>
        <v>551892</v>
      </c>
      <c r="I12" s="44">
        <f>ROUND('január (2)'!I12,0)</f>
        <v>551892</v>
      </c>
      <c r="J12" s="44">
        <f>ROUND('január (2)'!J12,0)</f>
        <v>551892</v>
      </c>
      <c r="K12" s="44">
        <f>ROUND('január (2)'!K12,0)</f>
        <v>735857</v>
      </c>
      <c r="L12" s="44">
        <f>ROUND('január (2)'!L12,0)</f>
        <v>735857</v>
      </c>
      <c r="M12" s="44">
        <f>ROUND('január (2)'!M12,0)-2</f>
        <v>1839640</v>
      </c>
      <c r="N12" s="52">
        <f t="shared" si="0"/>
        <v>9198208</v>
      </c>
      <c r="O12" s="43">
        <v>9198208</v>
      </c>
    </row>
    <row r="13" spans="1:15" ht="12.75">
      <c r="A13" s="9" t="s">
        <v>59</v>
      </c>
      <c r="B13" s="44">
        <f>ROUND('január (2)'!B13,0)</f>
        <v>47918</v>
      </c>
      <c r="C13" s="44">
        <f>ROUND('január (2)'!C13,0)</f>
        <v>47918</v>
      </c>
      <c r="D13" s="44">
        <f>ROUND('január (2)'!D13,0)</f>
        <v>47918</v>
      </c>
      <c r="E13" s="44">
        <f>ROUND('január (2)'!E13,0)</f>
        <v>47918</v>
      </c>
      <c r="F13" s="44">
        <f>ROUND('január (2)'!F13,0)</f>
        <v>68455</v>
      </c>
      <c r="G13" s="44">
        <f>ROUND('január (2)'!G13,0)</f>
        <v>68455</v>
      </c>
      <c r="H13" s="44">
        <f>ROUND('január (2)'!H13,0)</f>
        <v>54764</v>
      </c>
      <c r="I13" s="44">
        <f>ROUND('január (2)'!I13,0)</f>
        <v>54764</v>
      </c>
      <c r="J13" s="44">
        <f>ROUND('január (2)'!J13,0)</f>
        <v>54764</v>
      </c>
      <c r="K13" s="44">
        <f>ROUND('január (2)'!K13,0)</f>
        <v>54764</v>
      </c>
      <c r="L13" s="44">
        <f>ROUND('január (2)'!L13,0)</f>
        <v>54764</v>
      </c>
      <c r="M13" s="44">
        <f>ROUND('január (2)'!M13,0)+1</f>
        <v>82147</v>
      </c>
      <c r="N13" s="52">
        <f t="shared" si="0"/>
        <v>684549</v>
      </c>
      <c r="O13" s="43">
        <v>684549</v>
      </c>
    </row>
    <row r="14" spans="1:15" ht="12.75">
      <c r="A14" s="9" t="s">
        <v>61</v>
      </c>
      <c r="B14" s="44">
        <f>ROUND('január (2)'!B14,0)</f>
        <v>0</v>
      </c>
      <c r="C14" s="44">
        <f>ROUND('január (2)'!C14,0)</f>
        <v>0</v>
      </c>
      <c r="D14" s="44">
        <f>ROUND('január (2)'!D14,0)</f>
        <v>0</v>
      </c>
      <c r="E14" s="44">
        <f>ROUND('január (2)'!E14,0)</f>
        <v>0</v>
      </c>
      <c r="F14" s="44">
        <f>ROUND('január (2)'!F14,0)</f>
        <v>0</v>
      </c>
      <c r="G14" s="44">
        <f>ROUND('január (2)'!G14,0)</f>
        <v>0</v>
      </c>
      <c r="H14" s="44">
        <f>ROUND('január (2)'!H14,0)</f>
        <v>0</v>
      </c>
      <c r="I14" s="44">
        <f>ROUND('január (2)'!I14,0)</f>
        <v>0</v>
      </c>
      <c r="J14" s="44">
        <f>ROUND('január (2)'!J14,0)</f>
        <v>0</v>
      </c>
      <c r="K14" s="44">
        <f>ROUND('január (2)'!K14,0)</f>
        <v>0</v>
      </c>
      <c r="L14" s="44">
        <f>ROUND('január (2)'!L14,0)</f>
        <v>0</v>
      </c>
      <c r="M14" s="44">
        <f>ROUND('január (2)'!M14,0)</f>
        <v>0</v>
      </c>
      <c r="N14" s="52">
        <f t="shared" si="0"/>
        <v>0</v>
      </c>
      <c r="O14" s="43">
        <v>0</v>
      </c>
    </row>
    <row r="15" spans="1:15" ht="12.75">
      <c r="A15" s="12" t="s">
        <v>40</v>
      </c>
      <c r="B15" s="44">
        <f>ROUND('január (2)'!B15,0)</f>
        <v>446</v>
      </c>
      <c r="C15" s="44">
        <f>ROUND('január (2)'!C15,0)</f>
        <v>446</v>
      </c>
      <c r="D15" s="44">
        <f>ROUND('január (2)'!D15,0)</f>
        <v>446</v>
      </c>
      <c r="E15" s="44">
        <f>ROUND('január (2)'!E15,0)</f>
        <v>446</v>
      </c>
      <c r="F15" s="44">
        <f>ROUND('január (2)'!F15,0)</f>
        <v>446</v>
      </c>
      <c r="G15" s="44">
        <f>ROUND('január (2)'!G15,0)</f>
        <v>446</v>
      </c>
      <c r="H15" s="44">
        <f>ROUND('január (2)'!H15,0)</f>
        <v>446</v>
      </c>
      <c r="I15" s="44">
        <f>ROUND('január (2)'!I15,0)</f>
        <v>446</v>
      </c>
      <c r="J15" s="44">
        <f>ROUND('január (2)'!J15,0)+5</f>
        <v>25094</v>
      </c>
      <c r="K15" s="44">
        <f>ROUND('január (2)'!K15,0)</f>
        <v>446</v>
      </c>
      <c r="L15" s="44">
        <f>ROUND('január (2)'!L15,0)</f>
        <v>446</v>
      </c>
      <c r="M15" s="44">
        <f>ROUND('január (2)'!M15,0)</f>
        <v>446</v>
      </c>
      <c r="N15" s="52">
        <f t="shared" si="0"/>
        <v>30000</v>
      </c>
      <c r="O15" s="43">
        <v>30000</v>
      </c>
    </row>
    <row r="16" spans="1:15" ht="12.75">
      <c r="A16" s="12" t="s">
        <v>62</v>
      </c>
      <c r="B16" s="44">
        <f>ROUND('január (2)'!B16,0)</f>
        <v>59028</v>
      </c>
      <c r="C16" s="44">
        <f>ROUND('január (2)'!C16,0)</f>
        <v>59028</v>
      </c>
      <c r="D16" s="44">
        <f>ROUND('január (2)'!D16,0)</f>
        <v>59028</v>
      </c>
      <c r="E16" s="44">
        <f>ROUND('január (2)'!E16,0)</f>
        <v>59028</v>
      </c>
      <c r="F16" s="44">
        <f>ROUND('január (2)'!F16,0)</f>
        <v>4541</v>
      </c>
      <c r="G16" s="44">
        <f>ROUND('január (2)'!G16,0)</f>
        <v>108974</v>
      </c>
      <c r="H16" s="44">
        <f>ROUND('január (2)'!H16,0)</f>
        <v>4541</v>
      </c>
      <c r="I16" s="44">
        <f>ROUND('január (2)'!I16,0)</f>
        <v>4541</v>
      </c>
      <c r="J16" s="44">
        <f>ROUND('január (2)'!J16,0)</f>
        <v>81730</v>
      </c>
      <c r="K16" s="44">
        <f>ROUND('január (2)'!K16,0)</f>
        <v>4541</v>
      </c>
      <c r="L16" s="44">
        <f>ROUND('január (2)'!L16,0)</f>
        <v>4541</v>
      </c>
      <c r="M16" s="44">
        <f>ROUND('január (2)'!M16,0)-4</f>
        <v>4537</v>
      </c>
      <c r="N16" s="52">
        <f t="shared" si="0"/>
        <v>454058</v>
      </c>
      <c r="O16" s="43">
        <v>454058</v>
      </c>
    </row>
    <row r="17" spans="1:15" ht="12.75">
      <c r="A17" s="12" t="s">
        <v>63</v>
      </c>
      <c r="B17" s="44">
        <f>ROUND('január (2)'!B17,0)</f>
        <v>1090477</v>
      </c>
      <c r="C17" s="44">
        <f>ROUND('január (2)'!C17,0)</f>
        <v>1090477</v>
      </c>
      <c r="D17" s="44">
        <f>ROUND('január (2)'!D17,0)</f>
        <v>1090477</v>
      </c>
      <c r="E17" s="44">
        <f>ROUND('január (2)'!E17,0)</f>
        <v>1090477</v>
      </c>
      <c r="F17" s="44">
        <f>ROUND('január (2)'!F17,0)</f>
        <v>396537</v>
      </c>
      <c r="G17" s="44">
        <f>ROUND('január (2)'!G17,0)</f>
        <v>1982685</v>
      </c>
      <c r="H17" s="44">
        <f>ROUND('január (2)'!H17,0)</f>
        <v>297403</v>
      </c>
      <c r="I17" s="44">
        <f>ROUND('január (2)'!I17,0)</f>
        <v>297403</v>
      </c>
      <c r="J17" s="44">
        <f>ROUND('január (2)'!J17,0)</f>
        <v>1982685</v>
      </c>
      <c r="K17" s="44">
        <f>ROUND('január (2)'!K17,0)</f>
        <v>198269</v>
      </c>
      <c r="L17" s="44">
        <f>ROUND('január (2)'!L17,0)</f>
        <v>297403</v>
      </c>
      <c r="M17" s="44">
        <f>ROUND('január (2)'!M17,0)-2</f>
        <v>99132</v>
      </c>
      <c r="N17" s="52">
        <f t="shared" si="0"/>
        <v>9913425</v>
      </c>
      <c r="O17" s="43">
        <v>9913425</v>
      </c>
    </row>
    <row r="18" spans="1:15" ht="12.75">
      <c r="A18" s="12" t="s">
        <v>48</v>
      </c>
      <c r="B18" s="44">
        <f>ROUND('január (2)'!B18,0)</f>
        <v>0</v>
      </c>
      <c r="C18" s="44">
        <f>ROUND('január (2)'!C18,0)</f>
        <v>0</v>
      </c>
      <c r="D18" s="44">
        <f>ROUND('január (2)'!D18,0)</f>
        <v>0</v>
      </c>
      <c r="E18" s="44">
        <f>ROUND('január (2)'!E18,0)</f>
        <v>0</v>
      </c>
      <c r="F18" s="44">
        <f>ROUND('január (2)'!F18,0)</f>
        <v>0</v>
      </c>
      <c r="G18" s="44">
        <f>ROUND('január (2)'!G18,0)</f>
        <v>0</v>
      </c>
      <c r="H18" s="44">
        <f>ROUND('január (2)'!H18,0)</f>
        <v>0</v>
      </c>
      <c r="I18" s="44">
        <f>ROUND('január (2)'!I18,0)</f>
        <v>0</v>
      </c>
      <c r="J18" s="44">
        <f>ROUND('január (2)'!J18,0)</f>
        <v>0</v>
      </c>
      <c r="K18" s="44">
        <f>ROUND('január (2)'!K18,0)</f>
        <v>0</v>
      </c>
      <c r="L18" s="44">
        <f>ROUND('január (2)'!L18,0)</f>
        <v>0</v>
      </c>
      <c r="M18" s="44">
        <f>ROUND('január (2)'!M18,0)</f>
        <v>0</v>
      </c>
      <c r="N18" s="52">
        <f t="shared" si="0"/>
        <v>0</v>
      </c>
      <c r="O18" s="43">
        <v>0</v>
      </c>
    </row>
    <row r="19" spans="1:15" ht="12.75">
      <c r="A19" s="12" t="s">
        <v>49</v>
      </c>
      <c r="B19" s="44">
        <f>ROUND('január (2)'!B19,0)</f>
        <v>0</v>
      </c>
      <c r="C19" s="44">
        <f>ROUND('január (2)'!C19,0)</f>
        <v>0</v>
      </c>
      <c r="D19" s="44">
        <f>ROUND('január (2)'!D19,0)</f>
        <v>0</v>
      </c>
      <c r="E19" s="44">
        <f>ROUND('január (2)'!E19,0)</f>
        <v>0</v>
      </c>
      <c r="F19" s="44">
        <f>ROUND('január (2)'!F19,0)</f>
        <v>0</v>
      </c>
      <c r="G19" s="44">
        <f>ROUND('január (2)'!G19,0)</f>
        <v>0</v>
      </c>
      <c r="H19" s="44">
        <f>ROUND('január (2)'!H19,0)</f>
        <v>0</v>
      </c>
      <c r="I19" s="44">
        <f>ROUND('január (2)'!I19,0)</f>
        <v>0</v>
      </c>
      <c r="J19" s="44">
        <f>ROUND('január (2)'!J19,0)</f>
        <v>0</v>
      </c>
      <c r="K19" s="44">
        <f>ROUND('január (2)'!K19,0)</f>
        <v>0</v>
      </c>
      <c r="L19" s="44">
        <f>ROUND('január (2)'!L19,0)</f>
        <v>0</v>
      </c>
      <c r="M19" s="44">
        <f>ROUND('január (2)'!M19,0)</f>
        <v>0</v>
      </c>
      <c r="N19" s="52">
        <f t="shared" si="0"/>
        <v>0</v>
      </c>
      <c r="O19" s="43">
        <v>0</v>
      </c>
    </row>
    <row r="20" spans="1:15" ht="13.5" thickBot="1">
      <c r="A20" s="50" t="s">
        <v>26</v>
      </c>
      <c r="B20" s="51">
        <f>-(+B9+B10)</f>
        <v>-850794</v>
      </c>
      <c r="C20" s="51">
        <f aca="true" t="shared" si="1" ref="C20:M20">-(+C9+C10)</f>
        <v>-425397</v>
      </c>
      <c r="D20" s="51">
        <f t="shared" si="1"/>
        <v>-425397</v>
      </c>
      <c r="E20" s="51">
        <f t="shared" si="1"/>
        <v>-425397</v>
      </c>
      <c r="F20" s="51">
        <f t="shared" si="1"/>
        <v>-425397</v>
      </c>
      <c r="G20" s="51">
        <f t="shared" si="1"/>
        <v>-425397</v>
      </c>
      <c r="H20" s="51">
        <f t="shared" si="1"/>
        <v>-425397</v>
      </c>
      <c r="I20" s="51">
        <f t="shared" si="1"/>
        <v>-425397</v>
      </c>
      <c r="J20" s="51">
        <f t="shared" si="1"/>
        <v>-607710</v>
      </c>
      <c r="K20" s="51">
        <f t="shared" si="1"/>
        <v>-425397</v>
      </c>
      <c r="L20" s="51">
        <f t="shared" si="1"/>
        <v>-607710</v>
      </c>
      <c r="M20" s="51">
        <f t="shared" si="1"/>
        <v>-607708</v>
      </c>
      <c r="N20" s="52">
        <f t="shared" si="0"/>
        <v>-6077098</v>
      </c>
      <c r="O20" s="43">
        <v>-6077098</v>
      </c>
    </row>
    <row r="21" spans="1:15" ht="13.5" thickBot="1">
      <c r="A21" s="19" t="s">
        <v>27</v>
      </c>
      <c r="B21" s="61">
        <f>SUM(B5:B20)</f>
        <v>3282537</v>
      </c>
      <c r="C21" s="61">
        <f aca="true" t="shared" si="2" ref="C21:N21">SUM(C5:C20)</f>
        <v>2624167</v>
      </c>
      <c r="D21" s="61">
        <f t="shared" si="2"/>
        <v>2626167</v>
      </c>
      <c r="E21" s="61">
        <f t="shared" si="2"/>
        <v>2624167</v>
      </c>
      <c r="F21" s="61">
        <f t="shared" si="2"/>
        <v>2082241</v>
      </c>
      <c r="G21" s="61">
        <f t="shared" si="2"/>
        <v>3801067</v>
      </c>
      <c r="H21" s="61">
        <f t="shared" si="2"/>
        <v>1663224</v>
      </c>
      <c r="I21" s="61">
        <f t="shared" si="2"/>
        <v>1712376</v>
      </c>
      <c r="J21" s="61">
        <f t="shared" si="2"/>
        <v>3808409</v>
      </c>
      <c r="K21" s="61">
        <f t="shared" si="2"/>
        <v>1797207</v>
      </c>
      <c r="L21" s="61">
        <f t="shared" si="2"/>
        <v>2049798</v>
      </c>
      <c r="M21" s="61">
        <f t="shared" si="2"/>
        <v>2994259</v>
      </c>
      <c r="N21" s="61">
        <f t="shared" si="2"/>
        <v>31065619</v>
      </c>
      <c r="O21" s="43">
        <f>SUM(O5:O20)</f>
        <v>31065619</v>
      </c>
    </row>
    <row r="22" spans="1:14" ht="18.75">
      <c r="A22" s="49" t="s">
        <v>28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7"/>
    </row>
    <row r="23" spans="1:15" ht="12.75">
      <c r="A23" s="9" t="s">
        <v>29</v>
      </c>
      <c r="B23" s="44">
        <f>ROUND('január (2)'!B23,0)</f>
        <v>1031738</v>
      </c>
      <c r="C23" s="44">
        <f>ROUND('január (2)'!C23,0)</f>
        <v>697120</v>
      </c>
      <c r="D23" s="44">
        <f>ROUND('január (2)'!D23,0)</f>
        <v>697120</v>
      </c>
      <c r="E23" s="44">
        <f>ROUND('január (2)'!E23,0)</f>
        <v>697120</v>
      </c>
      <c r="F23" s="44">
        <f>ROUND('január (2)'!F23,0)</f>
        <v>697120</v>
      </c>
      <c r="G23" s="44">
        <f>ROUND('január (2)'!G23,0)</f>
        <v>697120</v>
      </c>
      <c r="H23" s="44">
        <f>ROUND('január (2)'!H23,0)</f>
        <v>697120</v>
      </c>
      <c r="I23" s="44">
        <f>ROUND('január (2)'!I23,0)</f>
        <v>697120</v>
      </c>
      <c r="J23" s="44">
        <f>ROUND('január (2)'!J23,0)</f>
        <v>697120</v>
      </c>
      <c r="K23" s="44">
        <f>ROUND('január (2)'!K23,0)</f>
        <v>697120</v>
      </c>
      <c r="L23" s="44">
        <f>ROUND('január (2)'!L23,0)</f>
        <v>697120</v>
      </c>
      <c r="M23" s="44">
        <f>ROUND('január (2)'!M23,0)-1</f>
        <v>697119</v>
      </c>
      <c r="N23" s="52">
        <f aca="true" t="shared" si="3" ref="N23:N37">SUM(B23:M23)</f>
        <v>8700057</v>
      </c>
      <c r="O23" s="43">
        <v>8700057</v>
      </c>
    </row>
    <row r="24" spans="1:15" ht="12.75">
      <c r="A24" s="12" t="s">
        <v>30</v>
      </c>
      <c r="B24" s="44">
        <f>ROUND('január (2)'!B24,0)</f>
        <v>328398</v>
      </c>
      <c r="C24" s="44">
        <f>ROUND('január (2)'!C24,0)</f>
        <v>221890</v>
      </c>
      <c r="D24" s="44">
        <f>ROUND('január (2)'!D24,0)</f>
        <v>221890</v>
      </c>
      <c r="E24" s="44">
        <f>ROUND('január (2)'!E24,0)</f>
        <v>221890</v>
      </c>
      <c r="F24" s="44">
        <f>ROUND('január (2)'!F24,0)</f>
        <v>221890</v>
      </c>
      <c r="G24" s="44">
        <f>ROUND('január (2)'!G24,0)</f>
        <v>221890</v>
      </c>
      <c r="H24" s="44">
        <f>ROUND('január (2)'!H24,0)</f>
        <v>221890</v>
      </c>
      <c r="I24" s="44">
        <f>ROUND('január (2)'!I24,0)</f>
        <v>221890</v>
      </c>
      <c r="J24" s="44">
        <f>ROUND('január (2)'!J24,0)</f>
        <v>221890</v>
      </c>
      <c r="K24" s="44">
        <f>ROUND('január (2)'!K24,0)</f>
        <v>221890</v>
      </c>
      <c r="L24" s="44">
        <f>ROUND('január (2)'!L24,0)</f>
        <v>221890</v>
      </c>
      <c r="M24" s="44">
        <f>ROUND('január (2)'!M24,0)+3</f>
        <v>221893</v>
      </c>
      <c r="N24" s="52">
        <f t="shared" si="3"/>
        <v>2769191</v>
      </c>
      <c r="O24" s="43">
        <v>2769191</v>
      </c>
    </row>
    <row r="25" spans="1:15" ht="12.75">
      <c r="A25" s="12" t="s">
        <v>50</v>
      </c>
      <c r="B25" s="44">
        <f>ROUND('január (2)'!B25,0)</f>
        <v>929390</v>
      </c>
      <c r="C25" s="44">
        <f>ROUND('január (2)'!C25,0)</f>
        <v>929390</v>
      </c>
      <c r="D25" s="44">
        <f>ROUND('január (2)'!D25,0)</f>
        <v>714916</v>
      </c>
      <c r="E25" s="44">
        <f>ROUND('január (2)'!E25,0)</f>
        <v>428949</v>
      </c>
      <c r="F25" s="44">
        <f>ROUND('január (2)'!F25,0)</f>
        <v>357458</v>
      </c>
      <c r="G25" s="44">
        <f>ROUND('január (2)'!G25,0)</f>
        <v>285966</v>
      </c>
      <c r="H25" s="44">
        <f>ROUND('január (2)'!H25,0)</f>
        <v>285966</v>
      </c>
      <c r="I25" s="44">
        <f>ROUND('január (2)'!I25,0)</f>
        <v>285966</v>
      </c>
      <c r="J25" s="44">
        <f>ROUND('január (2)'!J25,0)</f>
        <v>357458</v>
      </c>
      <c r="K25" s="44">
        <f>ROUND('január (2)'!K25,0)</f>
        <v>714916</v>
      </c>
      <c r="L25" s="44">
        <f>ROUND('január (2)'!L25,0)</f>
        <v>929390</v>
      </c>
      <c r="M25" s="44">
        <f>ROUND('január (2)'!M25,0)</f>
        <v>929390</v>
      </c>
      <c r="N25" s="52">
        <f t="shared" si="3"/>
        <v>7149155</v>
      </c>
      <c r="O25" s="43">
        <v>7149155</v>
      </c>
    </row>
    <row r="26" spans="1:15" ht="12.75">
      <c r="A26" s="9" t="s">
        <v>51</v>
      </c>
      <c r="B26" s="44">
        <f>ROUND('január (2)'!B26,0)</f>
        <v>0</v>
      </c>
      <c r="C26" s="44">
        <f>ROUND('január (2)'!C26,0)</f>
        <v>0</v>
      </c>
      <c r="D26" s="44">
        <f>ROUND('január (2)'!D26,0)</f>
        <v>0</v>
      </c>
      <c r="E26" s="44">
        <f>ROUND('január (2)'!E26,0)</f>
        <v>0</v>
      </c>
      <c r="F26" s="44">
        <f>ROUND('január (2)'!F26,0)</f>
        <v>0</v>
      </c>
      <c r="G26" s="44">
        <f>ROUND('január (2)'!G26,0)</f>
        <v>0</v>
      </c>
      <c r="H26" s="44">
        <f>ROUND('január (2)'!H26,0)</f>
        <v>0</v>
      </c>
      <c r="I26" s="44">
        <f>ROUND('január (2)'!I26,0)</f>
        <v>0</v>
      </c>
      <c r="J26" s="44">
        <f>ROUND('január (2)'!J26,0)</f>
        <v>0</v>
      </c>
      <c r="K26" s="44">
        <f>ROUND('január (2)'!K26,0)</f>
        <v>0</v>
      </c>
      <c r="L26" s="44">
        <f>ROUND('január (2)'!L26,0)</f>
        <v>0</v>
      </c>
      <c r="M26" s="44">
        <f>ROUND('január (2)'!M26,0)</f>
        <v>0</v>
      </c>
      <c r="N26" s="52">
        <f t="shared" si="3"/>
        <v>0</v>
      </c>
      <c r="O26" s="43">
        <v>0</v>
      </c>
    </row>
    <row r="27" spans="1:15" ht="12.75">
      <c r="A27" s="9" t="s">
        <v>52</v>
      </c>
      <c r="B27" s="44">
        <f>ROUND('január (2)'!B27,0)</f>
        <v>0</v>
      </c>
      <c r="C27" s="44">
        <f>ROUND('január (2)'!C27,0)</f>
        <v>0</v>
      </c>
      <c r="D27" s="44">
        <f>ROUND('január (2)'!D27,0)</f>
        <v>0</v>
      </c>
      <c r="E27" s="44">
        <f>ROUND('január (2)'!E27,0)</f>
        <v>6750</v>
      </c>
      <c r="F27" s="44">
        <f>ROUND('január (2)'!F27,0)</f>
        <v>0</v>
      </c>
      <c r="G27" s="44">
        <f>ROUND('január (2)'!G27,0)</f>
        <v>0</v>
      </c>
      <c r="H27" s="44">
        <f>ROUND('január (2)'!H27,0)</f>
        <v>6750</v>
      </c>
      <c r="I27" s="44">
        <f>ROUND('január (2)'!I27,0)</f>
        <v>0</v>
      </c>
      <c r="J27" s="44">
        <f>ROUND('január (2)'!J27,0)</f>
        <v>0</v>
      </c>
      <c r="K27" s="44">
        <f>ROUND('január (2)'!K27,0)</f>
        <v>6750</v>
      </c>
      <c r="L27" s="44">
        <f>ROUND('január (2)'!L27,0)</f>
        <v>0</v>
      </c>
      <c r="M27" s="44">
        <f>ROUND('január (2)'!M27,0)</f>
        <v>6750</v>
      </c>
      <c r="N27" s="52">
        <f t="shared" si="3"/>
        <v>27000</v>
      </c>
      <c r="O27" s="43">
        <v>27000</v>
      </c>
    </row>
    <row r="28" spans="1:15" ht="12.75">
      <c r="A28" s="9" t="s">
        <v>53</v>
      </c>
      <c r="B28" s="44">
        <f>ROUND('január (2)'!B28,0)</f>
        <v>0</v>
      </c>
      <c r="C28" s="44">
        <f>ROUND('január (2)'!C28,0)</f>
        <v>0</v>
      </c>
      <c r="D28" s="44">
        <f>ROUND('január (2)'!D28,0)</f>
        <v>0</v>
      </c>
      <c r="E28" s="44">
        <f>ROUND('január (2)'!E28,0)</f>
        <v>0</v>
      </c>
      <c r="F28" s="44">
        <f>ROUND('január (2)'!F28,0)</f>
        <v>0</v>
      </c>
      <c r="G28" s="44">
        <f>ROUND('január (2)'!G28,0)</f>
        <v>0</v>
      </c>
      <c r="H28" s="44">
        <f>ROUND('január (2)'!H28,0)</f>
        <v>0</v>
      </c>
      <c r="I28" s="44">
        <f>ROUND('január (2)'!I28,0)</f>
        <v>0</v>
      </c>
      <c r="J28" s="44">
        <f>ROUND('január (2)'!J28,0)</f>
        <v>0</v>
      </c>
      <c r="K28" s="44">
        <f>ROUND('január (2)'!K28,0)</f>
        <v>0</v>
      </c>
      <c r="L28" s="44">
        <f>ROUND('január (2)'!L28,0)</f>
        <v>0</v>
      </c>
      <c r="M28" s="44">
        <f>ROUND('január (2)'!M28,0)</f>
        <v>0</v>
      </c>
      <c r="N28" s="52">
        <f t="shared" si="3"/>
        <v>0</v>
      </c>
      <c r="O28" s="43">
        <v>0</v>
      </c>
    </row>
    <row r="29" spans="1:15" ht="12.75">
      <c r="A29" s="9" t="s">
        <v>54</v>
      </c>
      <c r="B29" s="44">
        <f>ROUND('január (2)'!B29,0)</f>
        <v>4976</v>
      </c>
      <c r="C29" s="44">
        <f>ROUND('január (2)'!C29,0)</f>
        <v>4976</v>
      </c>
      <c r="D29" s="44">
        <f>ROUND('január (2)'!D29,0)</f>
        <v>4976</v>
      </c>
      <c r="E29" s="44">
        <f>ROUND('január (2)'!E29,0)</f>
        <v>4976</v>
      </c>
      <c r="F29" s="44">
        <f>ROUND('január (2)'!F29,0)</f>
        <v>4976</v>
      </c>
      <c r="G29" s="44">
        <f>ROUND('január (2)'!G29,0)</f>
        <v>54736</v>
      </c>
      <c r="H29" s="44">
        <f>ROUND('január (2)'!H29,0)</f>
        <v>19904</v>
      </c>
      <c r="I29" s="44">
        <f>ROUND('január (2)'!I29,0)</f>
        <v>14928</v>
      </c>
      <c r="J29" s="44">
        <f>ROUND('január (2)'!J29,0)</f>
        <v>57224</v>
      </c>
      <c r="K29" s="44">
        <f>ROUND('január (2)'!K29,0)</f>
        <v>9952</v>
      </c>
      <c r="L29" s="44">
        <f>ROUND('január (2)'!L29,0)</f>
        <v>34832</v>
      </c>
      <c r="M29" s="44">
        <f>ROUND('január (2)'!M29,0)-1</f>
        <v>32343</v>
      </c>
      <c r="N29" s="52">
        <f t="shared" si="3"/>
        <v>248799</v>
      </c>
      <c r="O29" s="43">
        <v>248799</v>
      </c>
    </row>
    <row r="30" spans="1:15" ht="12.75">
      <c r="A30" s="9" t="s">
        <v>55</v>
      </c>
      <c r="B30" s="44">
        <f>ROUND('január (2)'!B30,0)</f>
        <v>400</v>
      </c>
      <c r="C30" s="44">
        <f>ROUND('január (2)'!C30,0)</f>
        <v>400</v>
      </c>
      <c r="D30" s="44">
        <f>ROUND('január (2)'!D30,0)</f>
        <v>120</v>
      </c>
      <c r="E30" s="44">
        <f>ROUND('január (2)'!E30,0)</f>
        <v>40</v>
      </c>
      <c r="F30" s="44">
        <f>ROUND('január (2)'!F30,0)</f>
        <v>40</v>
      </c>
      <c r="G30" s="44">
        <f>ROUND('január (2)'!G30,0)</f>
        <v>520</v>
      </c>
      <c r="H30" s="44">
        <f>ROUND('január (2)'!H30,0)</f>
        <v>480</v>
      </c>
      <c r="I30" s="44">
        <f>ROUND('január (2)'!I30,0)</f>
        <v>80</v>
      </c>
      <c r="J30" s="44">
        <f>ROUND('január (2)'!J30,0)</f>
        <v>480</v>
      </c>
      <c r="K30" s="44">
        <f>ROUND('január (2)'!K30,0)</f>
        <v>480</v>
      </c>
      <c r="L30" s="44">
        <f>ROUND('január (2)'!L30,0)</f>
        <v>480</v>
      </c>
      <c r="M30" s="44">
        <f>ROUND('január (2)'!M30,0)</f>
        <v>480</v>
      </c>
      <c r="N30" s="52">
        <f t="shared" si="3"/>
        <v>4000</v>
      </c>
      <c r="O30" s="43">
        <v>4000</v>
      </c>
    </row>
    <row r="31" spans="1:15" ht="12.75">
      <c r="A31" s="12" t="s">
        <v>33</v>
      </c>
      <c r="B31" s="44">
        <f>ROUND('január (2)'!B31,0)</f>
        <v>25435</v>
      </c>
      <c r="C31" s="44">
        <f>ROUND('január (2)'!C31,0)</f>
        <v>22891</v>
      </c>
      <c r="D31" s="44">
        <f>ROUND('január (2)'!D31,0)</f>
        <v>22891</v>
      </c>
      <c r="E31" s="44">
        <f>ROUND('január (2)'!E31,0)</f>
        <v>22891</v>
      </c>
      <c r="F31" s="44">
        <f>ROUND('január (2)'!F31,0)</f>
        <v>22891</v>
      </c>
      <c r="G31" s="44">
        <f>ROUND('január (2)'!G31,0)</f>
        <v>22891</v>
      </c>
      <c r="H31" s="44">
        <f>ROUND('január (2)'!H31,0)</f>
        <v>20348</v>
      </c>
      <c r="I31" s="44">
        <f>ROUND('január (2)'!I31,0)</f>
        <v>20348</v>
      </c>
      <c r="J31" s="44">
        <f>ROUND('január (2)'!J31,0)</f>
        <v>20348</v>
      </c>
      <c r="K31" s="44">
        <f>ROUND('január (2)'!K31,0)</f>
        <v>20348</v>
      </c>
      <c r="L31" s="44">
        <f>ROUND('január (2)'!L31,0)</f>
        <v>20348</v>
      </c>
      <c r="M31" s="44">
        <f>ROUND('január (2)'!M31,0)-2</f>
        <v>12715</v>
      </c>
      <c r="N31" s="52">
        <f t="shared" si="3"/>
        <v>254345</v>
      </c>
      <c r="O31" s="43">
        <v>254345</v>
      </c>
    </row>
    <row r="32" spans="1:15" ht="12.75">
      <c r="A32" s="12" t="s">
        <v>34</v>
      </c>
      <c r="B32" s="44">
        <f>ROUND('január (2)'!B32,0)</f>
        <v>2617</v>
      </c>
      <c r="C32" s="44">
        <f>ROUND('január (2)'!C32,0)</f>
        <v>2617</v>
      </c>
      <c r="D32" s="44">
        <f>ROUND('január (2)'!D32,0)</f>
        <v>2617</v>
      </c>
      <c r="E32" s="44">
        <f>ROUND('január (2)'!E32,0)</f>
        <v>2617</v>
      </c>
      <c r="F32" s="44">
        <f>ROUND('január (2)'!F32,0)</f>
        <v>2617</v>
      </c>
      <c r="G32" s="44">
        <f>ROUND('január (2)'!G32,0)</f>
        <v>10469</v>
      </c>
      <c r="H32" s="44">
        <f>ROUND('január (2)'!H32,0)</f>
        <v>2094</v>
      </c>
      <c r="I32" s="44">
        <f>ROUND('január (2)'!I32,0)</f>
        <v>2617</v>
      </c>
      <c r="J32" s="44">
        <f>ROUND('január (2)'!J32,0)</f>
        <v>2094</v>
      </c>
      <c r="K32" s="44">
        <f>ROUND('január (2)'!K32,0)</f>
        <v>2094</v>
      </c>
      <c r="L32" s="44">
        <f>ROUND('január (2)'!L32,0)</f>
        <v>10469</v>
      </c>
      <c r="M32" s="44">
        <f>ROUND('január (2)'!M32,0)+1</f>
        <v>9423</v>
      </c>
      <c r="N32" s="52">
        <f t="shared" si="3"/>
        <v>52345</v>
      </c>
      <c r="O32" s="43">
        <v>52345</v>
      </c>
    </row>
    <row r="33" spans="1:15" ht="12.75">
      <c r="A33" s="12" t="s">
        <v>35</v>
      </c>
      <c r="B33" s="44">
        <f>ROUND('január (2)'!B33,0)</f>
        <v>139792</v>
      </c>
      <c r="C33" s="44">
        <f>ROUND('január (2)'!C33,0)</f>
        <v>139792</v>
      </c>
      <c r="D33" s="44">
        <f>ROUND('január (2)'!D33,0)</f>
        <v>139792</v>
      </c>
      <c r="E33" s="44">
        <f>ROUND('január (2)'!E33,0)</f>
        <v>163090</v>
      </c>
      <c r="F33" s="44">
        <f>ROUND('január (2)'!F33,0)</f>
        <v>163090</v>
      </c>
      <c r="G33" s="44">
        <f>ROUND('január (2)'!G33,0)</f>
        <v>465972</v>
      </c>
      <c r="H33" s="44">
        <f>ROUND('január (2)'!H33,0)</f>
        <v>232986</v>
      </c>
      <c r="I33" s="44">
        <f>ROUND('január (2)'!I33,0)</f>
        <v>139792</v>
      </c>
      <c r="J33" s="44">
        <f>ROUND('január (2)'!J33,0)</f>
        <v>232986</v>
      </c>
      <c r="K33" s="44">
        <f>ROUND('január (2)'!K33,0)</f>
        <v>139792</v>
      </c>
      <c r="L33" s="44">
        <f>ROUND('január (2)'!L33,0)</f>
        <v>139792</v>
      </c>
      <c r="M33" s="44">
        <f>ROUND('január (2)'!M33,0)-2</f>
        <v>232984</v>
      </c>
      <c r="N33" s="52">
        <f t="shared" si="3"/>
        <v>2329860</v>
      </c>
      <c r="O33" s="43">
        <v>2329860</v>
      </c>
    </row>
    <row r="34" spans="1:15" ht="12.75">
      <c r="A34" s="9" t="s">
        <v>56</v>
      </c>
      <c r="B34" s="44">
        <f>ROUND('január (2)'!B34,0)</f>
        <v>0</v>
      </c>
      <c r="C34" s="44">
        <f>ROUND('január (2)'!C34,0)</f>
        <v>0</v>
      </c>
      <c r="D34" s="44">
        <f>ROUND('január (2)'!D34,0)</f>
        <v>0</v>
      </c>
      <c r="E34" s="44">
        <f>ROUND('január (2)'!E34,0)</f>
        <v>0</v>
      </c>
      <c r="F34" s="44">
        <f>ROUND('január (2)'!F34,0)</f>
        <v>0</v>
      </c>
      <c r="G34" s="44">
        <f>ROUND('január (2)'!G34,0)</f>
        <v>0</v>
      </c>
      <c r="H34" s="44">
        <f>ROUND('január (2)'!H34,0)</f>
        <v>0</v>
      </c>
      <c r="I34" s="44">
        <f>ROUND('január (2)'!I34,0)</f>
        <v>0</v>
      </c>
      <c r="J34" s="44">
        <f>ROUND('január (2)'!J34,0)</f>
        <v>0</v>
      </c>
      <c r="K34" s="44">
        <f>ROUND('január (2)'!K34,0)</f>
        <v>0</v>
      </c>
      <c r="L34" s="44">
        <f>ROUND('január (2)'!L34,0)</f>
        <v>0</v>
      </c>
      <c r="M34" s="44">
        <f>ROUND('január (2)'!M34,0)</f>
        <v>0</v>
      </c>
      <c r="N34" s="52">
        <f t="shared" si="3"/>
        <v>0</v>
      </c>
      <c r="O34" s="43">
        <v>0</v>
      </c>
    </row>
    <row r="35" spans="1:15" ht="12.75">
      <c r="A35" s="12" t="s">
        <v>37</v>
      </c>
      <c r="B35" s="44">
        <f>ROUND('január (2)'!B35,0)</f>
        <v>0</v>
      </c>
      <c r="C35" s="44">
        <f>ROUND('január (2)'!C35,0)</f>
        <v>0</v>
      </c>
      <c r="D35" s="44">
        <f>ROUND('január (2)'!D35,0)</f>
        <v>57628</v>
      </c>
      <c r="E35" s="44">
        <f>ROUND('január (2)'!E35,0)</f>
        <v>115255</v>
      </c>
      <c r="F35" s="44">
        <f>ROUND('január (2)'!F35,0)</f>
        <v>115255</v>
      </c>
      <c r="G35" s="44">
        <f>ROUND('január (2)'!G35,0)</f>
        <v>307347</v>
      </c>
      <c r="H35" s="44">
        <f>ROUND('január (2)'!H35,0)</f>
        <v>57628</v>
      </c>
      <c r="I35" s="44">
        <f>ROUND('január (2)'!I35,0)</f>
        <v>57628</v>
      </c>
      <c r="J35" s="44">
        <f>ROUND('január (2)'!J35,0)</f>
        <v>57628</v>
      </c>
      <c r="K35" s="44">
        <f>ROUND('január (2)'!K35,0)</f>
        <v>38418</v>
      </c>
      <c r="L35" s="44">
        <f>ROUND('január (2)'!L35,0)</f>
        <v>76837</v>
      </c>
      <c r="M35" s="44">
        <f>ROUND('január (2)'!M35,0)-1</f>
        <v>76836</v>
      </c>
      <c r="N35" s="52">
        <f t="shared" si="3"/>
        <v>960460</v>
      </c>
      <c r="O35" s="43">
        <v>9447460</v>
      </c>
    </row>
    <row r="36" spans="1:15" ht="12.75">
      <c r="A36" s="9" t="s">
        <v>57</v>
      </c>
      <c r="B36" s="44">
        <f>ROUND('január (2)'!B36,0)</f>
        <v>4170</v>
      </c>
      <c r="C36" s="44">
        <f>ROUND('január (2)'!C36,0)</f>
        <v>8341</v>
      </c>
      <c r="D36" s="44">
        <f>ROUND('január (2)'!D36,0)</f>
        <v>20852</v>
      </c>
      <c r="E36" s="44">
        <f>ROUND('január (2)'!E36,0)</f>
        <v>4170</v>
      </c>
      <c r="F36" s="44">
        <f>ROUND('január (2)'!F36,0)</f>
        <v>8341</v>
      </c>
      <c r="G36" s="44">
        <f>ROUND('január (2)'!G36,0)</f>
        <v>4170</v>
      </c>
      <c r="H36" s="44">
        <f>ROUND('január (2)'!H36,0)</f>
        <v>4170</v>
      </c>
      <c r="I36" s="44">
        <f>ROUND('január (2)'!I36,0)</f>
        <v>8341</v>
      </c>
      <c r="J36" s="44">
        <f>ROUND('január (2)'!J36,0)</f>
        <v>4170</v>
      </c>
      <c r="K36" s="44">
        <f>ROUND('január (2)'!K36,0)</f>
        <v>4170</v>
      </c>
      <c r="L36" s="44">
        <f>ROUND('január (2)'!L36,0)</f>
        <v>8341</v>
      </c>
      <c r="M36" s="44">
        <f>ROUND('január (2)'!M36,0)+1</f>
        <v>4171</v>
      </c>
      <c r="N36" s="52">
        <f t="shared" si="3"/>
        <v>83407</v>
      </c>
      <c r="O36" s="43">
        <v>83407</v>
      </c>
    </row>
    <row r="37" spans="1:15" ht="13.5" thickBot="1">
      <c r="A37" s="9" t="s">
        <v>58</v>
      </c>
      <c r="B37" s="44">
        <f>ROUND('január (2)'!B37,0)</f>
        <v>0</v>
      </c>
      <c r="C37" s="44">
        <f>ROUND('január (2)'!C37,0)</f>
        <v>0</v>
      </c>
      <c r="D37" s="44">
        <f>ROUND('január (2)'!D37,0)</f>
        <v>0</v>
      </c>
      <c r="E37" s="44">
        <f>ROUND('január (2)'!E37,0)</f>
        <v>0</v>
      </c>
      <c r="F37" s="44">
        <f>ROUND('január (2)'!F37,0)</f>
        <v>0</v>
      </c>
      <c r="G37" s="44">
        <f>ROUND('január (2)'!G37,0)</f>
        <v>0</v>
      </c>
      <c r="H37" s="44">
        <f>ROUND('január (2)'!H37,0)</f>
        <v>0</v>
      </c>
      <c r="I37" s="44">
        <f>ROUND('január (2)'!I37,0)</f>
        <v>0</v>
      </c>
      <c r="J37" s="44">
        <f>ROUND('január (2)'!J37,0)</f>
        <v>0</v>
      </c>
      <c r="K37" s="44">
        <f>ROUND('január (2)'!K37,0)</f>
        <v>0</v>
      </c>
      <c r="L37" s="44">
        <f>ROUND('január (2)'!L37,0)</f>
        <v>0</v>
      </c>
      <c r="M37" s="44">
        <f>ROUND('január (2)'!M37,0)</f>
        <v>0</v>
      </c>
      <c r="N37" s="52">
        <f t="shared" si="3"/>
        <v>0</v>
      </c>
      <c r="O37" s="43">
        <v>0</v>
      </c>
    </row>
    <row r="38" spans="1:15" ht="13.5" thickBot="1">
      <c r="A38" s="19" t="s">
        <v>38</v>
      </c>
      <c r="B38" s="62">
        <f>SUM(B23:B37)</f>
        <v>2466916</v>
      </c>
      <c r="C38" s="62">
        <f aca="true" t="shared" si="4" ref="C38:N38">SUM(C23:C37)</f>
        <v>2027417</v>
      </c>
      <c r="D38" s="62">
        <f t="shared" si="4"/>
        <v>1882802</v>
      </c>
      <c r="E38" s="62">
        <f t="shared" si="4"/>
        <v>1667748</v>
      </c>
      <c r="F38" s="62">
        <f t="shared" si="4"/>
        <v>1593678</v>
      </c>
      <c r="G38" s="62">
        <f t="shared" si="4"/>
        <v>2071081</v>
      </c>
      <c r="H38" s="62">
        <f t="shared" si="4"/>
        <v>1549336</v>
      </c>
      <c r="I38" s="62">
        <f t="shared" si="4"/>
        <v>1448710</v>
      </c>
      <c r="J38" s="62">
        <f t="shared" si="4"/>
        <v>1651398</v>
      </c>
      <c r="K38" s="62">
        <f t="shared" si="4"/>
        <v>1855930</v>
      </c>
      <c r="L38" s="62">
        <f t="shared" si="4"/>
        <v>2139499</v>
      </c>
      <c r="M38" s="62">
        <f t="shared" si="4"/>
        <v>2224104</v>
      </c>
      <c r="N38" s="62">
        <f t="shared" si="4"/>
        <v>22578619</v>
      </c>
      <c r="O38" s="43">
        <f>SUM(O23:O37)</f>
        <v>31065619</v>
      </c>
    </row>
    <row r="43" ht="12.75">
      <c r="E43">
        <f>100/12</f>
        <v>8.333333333333334</v>
      </c>
    </row>
  </sheetData>
  <mergeCells count="2">
    <mergeCell ref="A1:N1"/>
    <mergeCell ref="M2:N2"/>
  </mergeCells>
  <printOptions horizontalCentered="1" verticalCentered="1"/>
  <pageMargins left="0.3937007874015748" right="0.3937007874015748" top="0.7086614173228347" bottom="0.5905511811023623" header="0.4330708661417323" footer="0.31496062992125984"/>
  <pageSetup firstPageNumber="15" useFirstPageNumber="1" horizontalDpi="600" verticalDpi="600" orientation="landscape" paperSize="9" scale="86" r:id="rId1"/>
  <headerFooter alignWithMargins="0">
    <oddHeader>&amp;R&amp;"Times New Roman CE,Normál"A költségvetési rendelet-tervezet 9.sz. 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Közoktatási Közalapítvány</dc:creator>
  <cp:keywords/>
  <dc:description/>
  <cp:lastModifiedBy>benedekne</cp:lastModifiedBy>
  <cp:lastPrinted>2008-08-27T08:46:32Z</cp:lastPrinted>
  <dcterms:created xsi:type="dcterms:W3CDTF">2004-01-15T12:36:29Z</dcterms:created>
  <dcterms:modified xsi:type="dcterms:W3CDTF">2009-01-29T16:08:39Z</dcterms:modified>
  <cp:category/>
  <cp:version/>
  <cp:contentType/>
  <cp:contentStatus/>
</cp:coreProperties>
</file>