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activeTab="6"/>
  </bookViews>
  <sheets>
    <sheet name="2009kolt" sheetId="1" r:id="rId1"/>
    <sheet name="2009_május" sheetId="2" r:id="rId2"/>
    <sheet name="2009_július" sheetId="3" r:id="rId3"/>
    <sheet name="2009_szept" sheetId="4" r:id="rId4"/>
    <sheet name="2009_okt" sheetId="5" r:id="rId5"/>
    <sheet name="2009_nov" sheetId="6" r:id="rId6"/>
    <sheet name="2009_dec" sheetId="7" r:id="rId7"/>
  </sheets>
  <definedNames>
    <definedName name="_xlnm.Print_Area" localSheetId="6">'2009_dec'!$A$1:$N$39</definedName>
    <definedName name="_xlnm.Print_Area" localSheetId="2">'2009_július'!$A$1:$N$39</definedName>
    <definedName name="_xlnm.Print_Area" localSheetId="1">'2009_május'!$A$1:$N$39</definedName>
    <definedName name="_xlnm.Print_Area" localSheetId="5">'2009_nov'!$A$1:$N$39</definedName>
    <definedName name="_xlnm.Print_Area" localSheetId="4">'2009_okt'!$A$1:$N$39</definedName>
    <definedName name="_xlnm.Print_Area" localSheetId="3">'2009_szept'!$A$1:$N$39</definedName>
    <definedName name="_xlnm.Print_Area" localSheetId="0">'2009kolt'!$A$1:$N$39</definedName>
  </definedNames>
  <calcPr fullCalcOnLoad="1"/>
</workbook>
</file>

<file path=xl/sharedStrings.xml><?xml version="1.0" encoding="utf-8"?>
<sst xmlns="http://schemas.openxmlformats.org/spreadsheetml/2006/main" count="357" uniqueCount="51">
  <si>
    <t>Előirányzat-felhasználási ütemterv 2009. évre</t>
  </si>
  <si>
    <t>adatok E Ft-ban</t>
  </si>
  <si>
    <t>M e g n e v e z é 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</si>
  <si>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</si>
  <si>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</si>
  <si>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</si>
  <si>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</si>
  <si>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</si>
  <si>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</si>
  <si>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</si>
  <si>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</si>
  <si>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</si>
  <si>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</si>
  <si>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</si>
  <si>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</si>
  <si>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</si>
  <si>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Bevételek</t>
  </si>
  <si>
    <t>Intézményi működési bevétel</t>
  </si>
  <si>
    <t>Önk. sajátos működési bevétele</t>
  </si>
  <si>
    <t>Felhalm. és tőke jellegű bevétel</t>
  </si>
  <si>
    <t>Önk. sajátos felh.és tőke bevételei</t>
  </si>
  <si>
    <t>Felügyeleti szervi tám. műk. célra</t>
  </si>
  <si>
    <t>Felügyeleti szervi tám. fejl. célra</t>
  </si>
  <si>
    <t>Önk. költségvetési támogatása</t>
  </si>
  <si>
    <t>Támogatás értékü műk. bev</t>
  </si>
  <si>
    <t>Támogatás értékü felh. bevétel</t>
  </si>
  <si>
    <t>Előző évi visszatérítés</t>
  </si>
  <si>
    <t>Kölcsönök bevételei</t>
  </si>
  <si>
    <t>Pénzf. nélküli bev. működési célra</t>
  </si>
  <si>
    <t>Pénzf. nélküli bev. fejlesztési célra</t>
  </si>
  <si>
    <t>Finanszírozási bevételek</t>
  </si>
  <si>
    <t>Függő átfutó kiegyenlítő bev.</t>
  </si>
  <si>
    <t>Önk. Hiv. intézményi támogatása</t>
  </si>
  <si>
    <t>Bevételek összesen:</t>
  </si>
  <si>
    <t>Kiadások</t>
  </si>
  <si>
    <t>Személyi juttatás</t>
  </si>
  <si>
    <t>Munkaadókat terhelő járulékok</t>
  </si>
  <si>
    <t>Dologi és egyéb folyó kiadások</t>
  </si>
  <si>
    <t>Támogatás értékű műk. kiadás</t>
  </si>
  <si>
    <t>Támogatás értékű felh. kiadás</t>
  </si>
  <si>
    <t>Előző évi maradvány átadása</t>
  </si>
  <si>
    <t>Műk. c. p.e. átadás áht-n kívülre</t>
  </si>
  <si>
    <t>Felh. c. p.e átadás áht-n kívülre</t>
  </si>
  <si>
    <t>Ellátottak pénzbeni juttatása</t>
  </si>
  <si>
    <t>Felújítási kiadások</t>
  </si>
  <si>
    <t>Felhalmozási kiadások</t>
  </si>
  <si>
    <t>Pénzügyi befektetések kiadásai</t>
  </si>
  <si>
    <t>Pénzforgalom nélküli kiadások</t>
  </si>
  <si>
    <t>Finanszírozási kiadások</t>
  </si>
  <si>
    <t>Függő átfutó kiegyenlítő kiadások</t>
  </si>
  <si>
    <t>Kiadások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</si>
</sst>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#,##0.000"/>
    <numFmt numFmtId="166" formatCode="#,##0.000000"/>
  </numFmts>
  <fonts count="41"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21" xfId="0" applyFont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0" fillId="0" borderId="0" xfId="0" applyFill="1" applyAlignment="1">
      <alignment horizontal="centerContinuous"/>
    </xf>
    <xf numFmtId="3" fontId="0" fillId="0" borderId="0" xfId="0" applyNumberForma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8" sqref="N38"/>
    </sheetView>
  </sheetViews>
  <sheetFormatPr defaultColWidth="9.00390625" defaultRowHeight="12.75"/>
  <cols>
    <col min="1" max="1" width="28.00390625" style="0" customWidth="1"/>
    <col min="2" max="9" width="10.75390625" style="0" customWidth="1"/>
    <col min="10" max="10" width="10.75390625" style="17" customWidth="1"/>
    <col min="11" max="14" width="10.75390625" style="0" customWidth="1"/>
    <col min="15" max="15" width="12.625" style="3" customWidth="1"/>
    <col min="16" max="16" width="11.75390625" style="0" customWidth="1"/>
    <col min="17" max="17" width="12.00390625" style="0" customWidth="1"/>
    <col min="18" max="18" width="9.25390625" style="0" customWidth="1"/>
  </cols>
  <sheetData>
    <row r="1" spans="1:14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0"/>
      <c r="N2" s="21" t="s">
        <v>1</v>
      </c>
    </row>
    <row r="3" spans="1:14" ht="19.5" customHeight="1" thickBo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4" t="s">
        <v>15</v>
      </c>
    </row>
    <row r="4" spans="1:14" ht="18.75">
      <c r="A4" s="6" t="s">
        <v>16</v>
      </c>
      <c r="B4" s="7"/>
      <c r="C4" s="7"/>
      <c r="D4" s="7"/>
      <c r="E4" s="7"/>
      <c r="F4" s="7"/>
      <c r="G4" s="7"/>
      <c r="H4" s="7"/>
      <c r="I4" s="7"/>
      <c r="J4" s="14"/>
      <c r="K4" s="14"/>
      <c r="L4" s="14"/>
      <c r="M4" s="14"/>
      <c r="N4" s="15"/>
    </row>
    <row r="5" spans="1:16" ht="14.25" customHeight="1">
      <c r="A5" s="25" t="s">
        <v>17</v>
      </c>
      <c r="B5" s="26">
        <v>295300</v>
      </c>
      <c r="C5" s="26">
        <v>299400</v>
      </c>
      <c r="D5" s="26">
        <v>299400</v>
      </c>
      <c r="E5" s="26">
        <v>293300</v>
      </c>
      <c r="F5" s="26">
        <v>293300</v>
      </c>
      <c r="G5" s="26">
        <v>291600</v>
      </c>
      <c r="H5" s="26">
        <v>249000</v>
      </c>
      <c r="I5" s="26">
        <v>279180</v>
      </c>
      <c r="J5" s="26">
        <v>303380</v>
      </c>
      <c r="K5" s="26">
        <v>290600</v>
      </c>
      <c r="L5" s="26">
        <v>297700</v>
      </c>
      <c r="M5" s="26">
        <v>296250</v>
      </c>
      <c r="N5" s="27">
        <f aca="true" t="shared" si="0" ref="N5:N20">SUM(B5:M5)</f>
        <v>3488410</v>
      </c>
      <c r="O5" s="4">
        <v>3488410</v>
      </c>
      <c r="P5" s="22">
        <f>+O5-N5</f>
        <v>0</v>
      </c>
    </row>
    <row r="6" spans="1:16" ht="14.25" customHeight="1">
      <c r="A6" s="28" t="s">
        <v>18</v>
      </c>
      <c r="B6" s="26">
        <v>200238</v>
      </c>
      <c r="C6" s="26">
        <v>200239</v>
      </c>
      <c r="D6" s="26">
        <v>200238</v>
      </c>
      <c r="E6" s="26">
        <v>200239</v>
      </c>
      <c r="F6" s="26">
        <v>200238</v>
      </c>
      <c r="G6" s="26">
        <v>200239</v>
      </c>
      <c r="H6" s="26">
        <v>200238</v>
      </c>
      <c r="I6" s="26">
        <v>200238</v>
      </c>
      <c r="J6" s="26">
        <v>200239</v>
      </c>
      <c r="K6" s="26">
        <v>200238</v>
      </c>
      <c r="L6" s="26">
        <v>200239</v>
      </c>
      <c r="M6" s="26">
        <v>200238</v>
      </c>
      <c r="N6" s="27">
        <f t="shared" si="0"/>
        <v>2402861</v>
      </c>
      <c r="O6" s="3">
        <v>2402861</v>
      </c>
      <c r="P6" s="22">
        <f aca="true" t="shared" si="1" ref="P6:P20">+O6-N6</f>
        <v>0</v>
      </c>
    </row>
    <row r="7" spans="1:16" ht="14.25" customHeight="1">
      <c r="A7" s="28" t="s">
        <v>19</v>
      </c>
      <c r="B7" s="26">
        <v>10000</v>
      </c>
      <c r="C7" s="26">
        <v>10000</v>
      </c>
      <c r="D7" s="26">
        <v>30000</v>
      </c>
      <c r="E7" s="26">
        <v>50000</v>
      </c>
      <c r="F7" s="26">
        <v>50000</v>
      </c>
      <c r="G7" s="26">
        <v>60000</v>
      </c>
      <c r="H7" s="26">
        <v>58750</v>
      </c>
      <c r="I7" s="26">
        <v>60000</v>
      </c>
      <c r="J7" s="26">
        <v>50000</v>
      </c>
      <c r="K7" s="26">
        <v>45000</v>
      </c>
      <c r="L7" s="26">
        <v>45000</v>
      </c>
      <c r="M7" s="26">
        <v>43000</v>
      </c>
      <c r="N7" s="27">
        <f t="shared" si="0"/>
        <v>511750</v>
      </c>
      <c r="O7" s="4">
        <v>511750</v>
      </c>
      <c r="P7" s="22">
        <f t="shared" si="1"/>
        <v>0</v>
      </c>
    </row>
    <row r="8" spans="1:16" ht="14.25" customHeight="1">
      <c r="A8" s="28" t="s">
        <v>20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si="0"/>
        <v>0</v>
      </c>
      <c r="O8" s="5">
        <v>0</v>
      </c>
      <c r="P8" s="22">
        <f t="shared" si="1"/>
        <v>0</v>
      </c>
    </row>
    <row r="9" spans="1:16" ht="14.25" customHeight="1">
      <c r="A9" s="28" t="s">
        <v>21</v>
      </c>
      <c r="B9" s="26">
        <f>483806+50000</f>
        <v>533806</v>
      </c>
      <c r="C9" s="26">
        <v>483807</v>
      </c>
      <c r="D9" s="26">
        <v>483806</v>
      </c>
      <c r="E9" s="26">
        <v>483807</v>
      </c>
      <c r="F9" s="26">
        <v>483806</v>
      </c>
      <c r="G9" s="26">
        <v>483807</v>
      </c>
      <c r="H9" s="26">
        <v>483806</v>
      </c>
      <c r="I9" s="26">
        <v>483807</v>
      </c>
      <c r="J9" s="26">
        <v>483806</v>
      </c>
      <c r="K9" s="26">
        <v>483807</v>
      </c>
      <c r="L9" s="26">
        <v>483807</v>
      </c>
      <c r="M9" s="26">
        <v>483807</v>
      </c>
      <c r="N9" s="27">
        <f t="shared" si="0"/>
        <v>5855679</v>
      </c>
      <c r="O9" s="3">
        <v>5805679</v>
      </c>
      <c r="P9" s="22">
        <f t="shared" si="1"/>
        <v>-50000</v>
      </c>
    </row>
    <row r="10" spans="1:16" ht="14.25" customHeight="1">
      <c r="A10" s="28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f t="shared" si="0"/>
        <v>0</v>
      </c>
      <c r="O10" s="3">
        <v>0</v>
      </c>
      <c r="P10" s="22">
        <f t="shared" si="1"/>
        <v>0</v>
      </c>
    </row>
    <row r="11" spans="1:16" ht="14.25" customHeight="1">
      <c r="A11" s="28" t="s">
        <v>23</v>
      </c>
      <c r="B11" s="26">
        <v>378000</v>
      </c>
      <c r="C11" s="26">
        <v>376000</v>
      </c>
      <c r="D11" s="26">
        <v>376000</v>
      </c>
      <c r="E11" s="26">
        <v>379812</v>
      </c>
      <c r="F11" s="26">
        <v>376000</v>
      </c>
      <c r="G11" s="26">
        <v>376000</v>
      </c>
      <c r="H11" s="26">
        <v>376000</v>
      </c>
      <c r="I11" s="26">
        <v>376000</v>
      </c>
      <c r="J11" s="26">
        <v>376000</v>
      </c>
      <c r="K11" s="26">
        <v>376000</v>
      </c>
      <c r="L11" s="26">
        <v>376000</v>
      </c>
      <c r="M11" s="26">
        <v>376000</v>
      </c>
      <c r="N11" s="27">
        <f t="shared" si="0"/>
        <v>4517812</v>
      </c>
      <c r="O11" s="3">
        <v>4517812</v>
      </c>
      <c r="P11" s="22">
        <f t="shared" si="1"/>
        <v>0</v>
      </c>
    </row>
    <row r="12" spans="1:16" ht="14.25" customHeight="1">
      <c r="A12" s="25" t="s">
        <v>24</v>
      </c>
      <c r="B12" s="26">
        <v>779121</v>
      </c>
      <c r="C12" s="26">
        <v>779121</v>
      </c>
      <c r="D12" s="26">
        <v>779121</v>
      </c>
      <c r="E12" s="26">
        <v>779121</v>
      </c>
      <c r="F12" s="26">
        <v>779121</v>
      </c>
      <c r="G12" s="26">
        <v>779121</v>
      </c>
      <c r="H12" s="26">
        <v>779121</v>
      </c>
      <c r="I12" s="26">
        <v>779121</v>
      </c>
      <c r="J12" s="26">
        <v>779121</v>
      </c>
      <c r="K12" s="26">
        <v>779121</v>
      </c>
      <c r="L12" s="26">
        <v>779121</v>
      </c>
      <c r="M12" s="26">
        <v>779122</v>
      </c>
      <c r="N12" s="27">
        <f t="shared" si="0"/>
        <v>9349453</v>
      </c>
      <c r="O12" s="3">
        <v>9349453</v>
      </c>
      <c r="P12" s="22">
        <f t="shared" si="1"/>
        <v>0</v>
      </c>
    </row>
    <row r="13" spans="1:16" ht="14.25" customHeight="1">
      <c r="A13" s="25" t="s">
        <v>25</v>
      </c>
      <c r="B13" s="26">
        <v>5400</v>
      </c>
      <c r="C13" s="26">
        <v>3600</v>
      </c>
      <c r="D13" s="26">
        <v>4000</v>
      </c>
      <c r="E13" s="26">
        <v>150000</v>
      </c>
      <c r="F13" s="26">
        <v>18000</v>
      </c>
      <c r="G13" s="26">
        <v>22000</v>
      </c>
      <c r="H13" s="26">
        <v>28000</v>
      </c>
      <c r="I13" s="26">
        <v>18000</v>
      </c>
      <c r="J13" s="26">
        <v>150000</v>
      </c>
      <c r="K13" s="26">
        <v>10000</v>
      </c>
      <c r="L13" s="26">
        <v>18000</v>
      </c>
      <c r="M13" s="26">
        <v>28000</v>
      </c>
      <c r="N13" s="27">
        <f t="shared" si="0"/>
        <v>455000</v>
      </c>
      <c r="O13" s="3">
        <v>455000</v>
      </c>
      <c r="P13" s="22">
        <f t="shared" si="1"/>
        <v>0</v>
      </c>
    </row>
    <row r="14" spans="1:16" ht="14.25" customHeight="1">
      <c r="A14" s="25" t="s">
        <v>26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f t="shared" si="0"/>
        <v>0</v>
      </c>
      <c r="O14" s="3">
        <v>0</v>
      </c>
      <c r="P14" s="22">
        <f t="shared" si="1"/>
        <v>0</v>
      </c>
    </row>
    <row r="15" spans="1:16" ht="14.25" customHeight="1">
      <c r="A15" s="28" t="s">
        <v>27</v>
      </c>
      <c r="B15" s="26">
        <v>2450</v>
      </c>
      <c r="C15" s="26">
        <v>2450</v>
      </c>
      <c r="D15" s="26">
        <v>2450</v>
      </c>
      <c r="E15" s="26">
        <v>2450</v>
      </c>
      <c r="F15" s="26">
        <v>2500</v>
      </c>
      <c r="G15" s="26">
        <v>2500</v>
      </c>
      <c r="H15" s="26">
        <v>2500</v>
      </c>
      <c r="I15" s="26">
        <v>2500</v>
      </c>
      <c r="J15" s="26">
        <v>2550</v>
      </c>
      <c r="K15" s="26">
        <v>2550</v>
      </c>
      <c r="L15" s="26">
        <v>2550</v>
      </c>
      <c r="M15" s="26">
        <v>2550</v>
      </c>
      <c r="N15" s="27">
        <f t="shared" si="0"/>
        <v>30000</v>
      </c>
      <c r="O15" s="3">
        <v>30000</v>
      </c>
      <c r="P15" s="22">
        <f t="shared" si="1"/>
        <v>0</v>
      </c>
    </row>
    <row r="16" spans="1:16" ht="14.25" customHeight="1">
      <c r="A16" s="28" t="s">
        <v>28</v>
      </c>
      <c r="B16" s="26">
        <v>88000</v>
      </c>
      <c r="C16" s="26">
        <v>79000</v>
      </c>
      <c r="D16" s="26">
        <v>70000</v>
      </c>
      <c r="E16" s="26">
        <v>59000</v>
      </c>
      <c r="F16" s="26">
        <v>59000</v>
      </c>
      <c r="G16" s="26">
        <v>45000</v>
      </c>
      <c r="H16" s="26">
        <v>45000</v>
      </c>
      <c r="I16" s="26">
        <v>45000</v>
      </c>
      <c r="J16" s="26">
        <v>45285</v>
      </c>
      <c r="K16" s="26">
        <v>56000</v>
      </c>
      <c r="L16" s="26">
        <v>60000</v>
      </c>
      <c r="M16" s="26">
        <v>64000</v>
      </c>
      <c r="N16" s="27">
        <f t="shared" si="0"/>
        <v>715285</v>
      </c>
      <c r="O16" s="3">
        <v>715285</v>
      </c>
      <c r="P16" s="22">
        <f t="shared" si="1"/>
        <v>0</v>
      </c>
    </row>
    <row r="17" spans="1:16" ht="14.25" customHeight="1">
      <c r="A17" s="28" t="s">
        <v>29</v>
      </c>
      <c r="B17" s="26">
        <v>128000</v>
      </c>
      <c r="C17" s="26">
        <v>185800</v>
      </c>
      <c r="D17" s="26">
        <v>255000</v>
      </c>
      <c r="E17" s="26">
        <v>346000</v>
      </c>
      <c r="F17" s="26">
        <v>300000</v>
      </c>
      <c r="G17" s="26">
        <v>359000</v>
      </c>
      <c r="H17" s="26">
        <v>388000</v>
      </c>
      <c r="I17" s="26">
        <v>301000</v>
      </c>
      <c r="J17" s="26">
        <v>318000</v>
      </c>
      <c r="K17" s="26">
        <v>268000</v>
      </c>
      <c r="L17" s="26">
        <v>250000</v>
      </c>
      <c r="M17" s="26">
        <v>157552</v>
      </c>
      <c r="N17" s="27">
        <f t="shared" si="0"/>
        <v>3256352</v>
      </c>
      <c r="O17" s="3">
        <v>3256352</v>
      </c>
      <c r="P17" s="22">
        <f t="shared" si="1"/>
        <v>0</v>
      </c>
    </row>
    <row r="18" spans="1:16" ht="14.25" customHeight="1">
      <c r="A18" s="28" t="s">
        <v>30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f t="shared" si="0"/>
        <v>0</v>
      </c>
      <c r="O18" s="3">
        <v>0</v>
      </c>
      <c r="P18" s="22">
        <f t="shared" si="1"/>
        <v>0</v>
      </c>
    </row>
    <row r="19" spans="1:16" ht="14.25" customHeight="1">
      <c r="A19" s="28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f t="shared" si="0"/>
        <v>0</v>
      </c>
      <c r="O19" s="3">
        <v>0</v>
      </c>
      <c r="P19" s="22">
        <f t="shared" si="1"/>
        <v>0</v>
      </c>
    </row>
    <row r="20" spans="1:16" ht="14.25" customHeight="1" thickBot="1">
      <c r="A20" s="29" t="s">
        <v>32</v>
      </c>
      <c r="B20" s="26">
        <f>-B9</f>
        <v>-533806</v>
      </c>
      <c r="C20" s="26">
        <f aca="true" t="shared" si="2" ref="C20:M20">-C9</f>
        <v>-483807</v>
      </c>
      <c r="D20" s="26">
        <f t="shared" si="2"/>
        <v>-483806</v>
      </c>
      <c r="E20" s="26">
        <f t="shared" si="2"/>
        <v>-483807</v>
      </c>
      <c r="F20" s="26">
        <f t="shared" si="2"/>
        <v>-483806</v>
      </c>
      <c r="G20" s="26">
        <f t="shared" si="2"/>
        <v>-483807</v>
      </c>
      <c r="H20" s="26">
        <f t="shared" si="2"/>
        <v>-483806</v>
      </c>
      <c r="I20" s="26">
        <f t="shared" si="2"/>
        <v>-483807</v>
      </c>
      <c r="J20" s="26">
        <f t="shared" si="2"/>
        <v>-483806</v>
      </c>
      <c r="K20" s="26">
        <f t="shared" si="2"/>
        <v>-483807</v>
      </c>
      <c r="L20" s="26">
        <f t="shared" si="2"/>
        <v>-483807</v>
      </c>
      <c r="M20" s="26">
        <f t="shared" si="2"/>
        <v>-483807</v>
      </c>
      <c r="N20" s="27">
        <f t="shared" si="0"/>
        <v>-5855679</v>
      </c>
      <c r="O20" s="3">
        <v>-5805679</v>
      </c>
      <c r="P20" s="22">
        <f t="shared" si="1"/>
        <v>50000</v>
      </c>
    </row>
    <row r="21" spans="1:15" ht="15.75" customHeight="1" thickBot="1">
      <c r="A21" s="2" t="s">
        <v>33</v>
      </c>
      <c r="B21" s="11">
        <f aca="true" t="shared" si="3" ref="B21:N21">SUM(B5:B20)</f>
        <v>1886509</v>
      </c>
      <c r="C21" s="11">
        <f t="shared" si="3"/>
        <v>1935610</v>
      </c>
      <c r="D21" s="11">
        <f t="shared" si="3"/>
        <v>2016209</v>
      </c>
      <c r="E21" s="11">
        <f t="shared" si="3"/>
        <v>2259922</v>
      </c>
      <c r="F21" s="11">
        <f t="shared" si="3"/>
        <v>2078159</v>
      </c>
      <c r="G21" s="11">
        <f t="shared" si="3"/>
        <v>2135460</v>
      </c>
      <c r="H21" s="11">
        <f t="shared" si="3"/>
        <v>2126609</v>
      </c>
      <c r="I21" s="11">
        <f t="shared" si="3"/>
        <v>2061039</v>
      </c>
      <c r="J21" s="11">
        <f t="shared" si="3"/>
        <v>2224575</v>
      </c>
      <c r="K21" s="11">
        <f t="shared" si="3"/>
        <v>2027509</v>
      </c>
      <c r="L21" s="11">
        <f t="shared" si="3"/>
        <v>2028610</v>
      </c>
      <c r="M21" s="11">
        <f t="shared" si="3"/>
        <v>1946712</v>
      </c>
      <c r="N21" s="16">
        <f t="shared" si="3"/>
        <v>24726923</v>
      </c>
      <c r="O21" s="3">
        <f>SUM(O5:O20)</f>
        <v>24726923</v>
      </c>
    </row>
    <row r="22" spans="1:14" ht="18.75">
      <c r="A22" s="8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6" ht="14.25" customHeight="1">
      <c r="A23" s="25" t="s">
        <v>35</v>
      </c>
      <c r="B23" s="26">
        <v>835000</v>
      </c>
      <c r="C23" s="26">
        <v>698000</v>
      </c>
      <c r="D23" s="26">
        <v>698000</v>
      </c>
      <c r="E23" s="26">
        <v>750000</v>
      </c>
      <c r="F23" s="26">
        <v>698000</v>
      </c>
      <c r="G23" s="26">
        <v>750000</v>
      </c>
      <c r="H23" s="26">
        <v>700000</v>
      </c>
      <c r="I23" s="26">
        <v>700000</v>
      </c>
      <c r="J23" s="26">
        <v>750000</v>
      </c>
      <c r="K23" s="26">
        <v>700000</v>
      </c>
      <c r="L23" s="26">
        <v>800000</v>
      </c>
      <c r="M23" s="26">
        <v>735608</v>
      </c>
      <c r="N23" s="27">
        <f aca="true" t="shared" si="4" ref="N23:N37">SUM(B23:M23)</f>
        <v>8814608</v>
      </c>
      <c r="O23" s="3">
        <v>8814608</v>
      </c>
      <c r="P23" s="22">
        <f aca="true" t="shared" si="5" ref="P23:P37">+O23-N23</f>
        <v>0</v>
      </c>
    </row>
    <row r="24" spans="1:16" ht="14.25" customHeight="1">
      <c r="A24" s="28" t="s">
        <v>36</v>
      </c>
      <c r="B24" s="26">
        <v>251996</v>
      </c>
      <c r="C24" s="26">
        <v>208747</v>
      </c>
      <c r="D24" s="26">
        <v>208746</v>
      </c>
      <c r="E24" s="26">
        <v>224747</v>
      </c>
      <c r="F24" s="26">
        <v>208746</v>
      </c>
      <c r="G24" s="26">
        <v>224947</v>
      </c>
      <c r="H24" s="26">
        <v>209996</v>
      </c>
      <c r="I24" s="26">
        <v>209996</v>
      </c>
      <c r="J24" s="26">
        <v>224247</v>
      </c>
      <c r="K24" s="26">
        <v>209296</v>
      </c>
      <c r="L24" s="26">
        <v>239135</v>
      </c>
      <c r="M24" s="26">
        <v>219940</v>
      </c>
      <c r="N24" s="27">
        <f t="shared" si="4"/>
        <v>2640539</v>
      </c>
      <c r="O24" s="3">
        <v>2640539</v>
      </c>
      <c r="P24" s="22">
        <f t="shared" si="5"/>
        <v>0</v>
      </c>
    </row>
    <row r="25" spans="1:16" ht="14.25" customHeight="1">
      <c r="A25" s="28" t="s">
        <v>37</v>
      </c>
      <c r="B25" s="26">
        <f>925195+50000</f>
        <v>975195</v>
      </c>
      <c r="C25" s="26">
        <v>925195</v>
      </c>
      <c r="D25" s="26">
        <v>840000</v>
      </c>
      <c r="E25" s="26">
        <v>640180</v>
      </c>
      <c r="F25" s="26">
        <v>474200</v>
      </c>
      <c r="G25" s="26">
        <v>394200</v>
      </c>
      <c r="H25" s="26">
        <v>324150</v>
      </c>
      <c r="I25" s="26">
        <v>374200</v>
      </c>
      <c r="J25" s="26">
        <v>575014</v>
      </c>
      <c r="K25" s="26">
        <v>750600</v>
      </c>
      <c r="L25" s="26">
        <v>820145</v>
      </c>
      <c r="M25" s="26">
        <v>863680</v>
      </c>
      <c r="N25" s="27">
        <f>SUM(B25:M25)</f>
        <v>7956759</v>
      </c>
      <c r="O25" s="3">
        <v>7906759</v>
      </c>
      <c r="P25" s="22">
        <f t="shared" si="5"/>
        <v>-50000</v>
      </c>
    </row>
    <row r="26" spans="1:16" ht="14.25" customHeight="1">
      <c r="A26" s="25" t="s">
        <v>38</v>
      </c>
      <c r="B26" s="26">
        <v>0</v>
      </c>
      <c r="C26" s="26">
        <v>0</v>
      </c>
      <c r="D26" s="26">
        <v>0</v>
      </c>
      <c r="E26" s="26">
        <v>1000</v>
      </c>
      <c r="F26" s="26">
        <v>0</v>
      </c>
      <c r="G26" s="26">
        <v>0</v>
      </c>
      <c r="H26" s="26">
        <v>0</v>
      </c>
      <c r="I26" s="26">
        <v>0</v>
      </c>
      <c r="J26" s="26">
        <v>1000</v>
      </c>
      <c r="K26" s="26">
        <v>0</v>
      </c>
      <c r="L26" s="26">
        <v>961</v>
      </c>
      <c r="M26" s="26">
        <v>0</v>
      </c>
      <c r="N26" s="27">
        <f t="shared" si="4"/>
        <v>2961</v>
      </c>
      <c r="O26" s="3">
        <v>2961</v>
      </c>
      <c r="P26" s="22">
        <f t="shared" si="5"/>
        <v>0</v>
      </c>
    </row>
    <row r="27" spans="1:16" ht="14.25" customHeight="1">
      <c r="A27" s="25" t="s">
        <v>39</v>
      </c>
      <c r="B27" s="26">
        <v>0</v>
      </c>
      <c r="C27" s="26">
        <v>0</v>
      </c>
      <c r="D27" s="26">
        <v>50000</v>
      </c>
      <c r="E27" s="26">
        <v>0</v>
      </c>
      <c r="F27" s="26">
        <v>50000</v>
      </c>
      <c r="G27" s="26">
        <v>7000</v>
      </c>
      <c r="H27" s="26">
        <v>8000</v>
      </c>
      <c r="I27" s="26">
        <v>100000</v>
      </c>
      <c r="J27" s="26">
        <v>50000</v>
      </c>
      <c r="K27" s="26">
        <v>0</v>
      </c>
      <c r="L27" s="26">
        <v>50000</v>
      </c>
      <c r="M27" s="26">
        <v>0</v>
      </c>
      <c r="N27" s="27">
        <f t="shared" si="4"/>
        <v>315000</v>
      </c>
      <c r="O27" s="3">
        <v>315000</v>
      </c>
      <c r="P27" s="22">
        <f t="shared" si="5"/>
        <v>0</v>
      </c>
    </row>
    <row r="28" spans="1:16" ht="14.25" customHeight="1">
      <c r="A28" s="25" t="s">
        <v>40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f t="shared" si="4"/>
        <v>0</v>
      </c>
      <c r="O28" s="3">
        <v>0</v>
      </c>
      <c r="P28" s="22">
        <f t="shared" si="5"/>
        <v>0</v>
      </c>
    </row>
    <row r="29" spans="1:16" ht="14.25" customHeight="1">
      <c r="A29" s="25" t="s">
        <v>41</v>
      </c>
      <c r="B29" s="26">
        <v>0</v>
      </c>
      <c r="C29" s="26">
        <v>0</v>
      </c>
      <c r="D29" s="26">
        <v>0</v>
      </c>
      <c r="E29" s="26">
        <v>3000</v>
      </c>
      <c r="F29" s="26">
        <v>25000</v>
      </c>
      <c r="G29" s="26">
        <v>4000</v>
      </c>
      <c r="H29" s="26">
        <v>40000</v>
      </c>
      <c r="I29" s="26">
        <v>3500</v>
      </c>
      <c r="J29" s="26">
        <v>8000</v>
      </c>
      <c r="K29" s="26">
        <v>9964</v>
      </c>
      <c r="L29" s="26">
        <v>18000</v>
      </c>
      <c r="M29" s="26">
        <v>8000</v>
      </c>
      <c r="N29" s="27">
        <f t="shared" si="4"/>
        <v>119464</v>
      </c>
      <c r="O29" s="3">
        <v>119464</v>
      </c>
      <c r="P29" s="22">
        <f t="shared" si="5"/>
        <v>0</v>
      </c>
    </row>
    <row r="30" spans="1:16" ht="14.25" customHeight="1">
      <c r="A30" s="25" t="s">
        <v>42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f t="shared" si="4"/>
        <v>0</v>
      </c>
      <c r="O30" s="3">
        <v>0</v>
      </c>
      <c r="P30" s="22">
        <f t="shared" si="5"/>
        <v>0</v>
      </c>
    </row>
    <row r="31" spans="1:16" ht="14.25" customHeight="1">
      <c r="A31" s="28" t="s">
        <v>43</v>
      </c>
      <c r="B31" s="26">
        <v>21040</v>
      </c>
      <c r="C31" s="26">
        <v>21040</v>
      </c>
      <c r="D31" s="26">
        <v>21040</v>
      </c>
      <c r="E31" s="26">
        <v>21040</v>
      </c>
      <c r="F31" s="26">
        <v>21040</v>
      </c>
      <c r="G31" s="26">
        <v>21040</v>
      </c>
      <c r="H31" s="26">
        <v>21000</v>
      </c>
      <c r="I31" s="26">
        <v>21000</v>
      </c>
      <c r="J31" s="26">
        <v>21050</v>
      </c>
      <c r="K31" s="26">
        <v>21050</v>
      </c>
      <c r="L31" s="26">
        <v>21112</v>
      </c>
      <c r="M31" s="26">
        <v>21050</v>
      </c>
      <c r="N31" s="27">
        <f t="shared" si="4"/>
        <v>252502</v>
      </c>
      <c r="O31" s="3">
        <v>252502</v>
      </c>
      <c r="P31" s="22">
        <f t="shared" si="5"/>
        <v>0</v>
      </c>
    </row>
    <row r="32" spans="1:16" ht="14.25" customHeight="1">
      <c r="A32" s="28" t="s">
        <v>44</v>
      </c>
      <c r="B32" s="26">
        <v>3000</v>
      </c>
      <c r="C32" s="26">
        <v>5800</v>
      </c>
      <c r="D32" s="26">
        <v>25000</v>
      </c>
      <c r="E32" s="26">
        <v>25000</v>
      </c>
      <c r="F32" s="26">
        <v>35000</v>
      </c>
      <c r="G32" s="26">
        <v>28000</v>
      </c>
      <c r="H32" s="26">
        <v>55000</v>
      </c>
      <c r="I32" s="26">
        <v>65000</v>
      </c>
      <c r="J32" s="26">
        <v>72217</v>
      </c>
      <c r="K32" s="26">
        <v>76160</v>
      </c>
      <c r="L32" s="26">
        <v>38000</v>
      </c>
      <c r="M32" s="26">
        <v>8000</v>
      </c>
      <c r="N32" s="27">
        <f t="shared" si="4"/>
        <v>436177</v>
      </c>
      <c r="O32" s="3">
        <v>436177</v>
      </c>
      <c r="P32" s="22">
        <f t="shared" si="5"/>
        <v>0</v>
      </c>
    </row>
    <row r="33" spans="1:16" ht="14.25" customHeight="1">
      <c r="A33" s="28" t="s">
        <v>45</v>
      </c>
      <c r="B33" s="26">
        <v>105000</v>
      </c>
      <c r="C33" s="26">
        <v>180000</v>
      </c>
      <c r="D33" s="26">
        <v>180000</v>
      </c>
      <c r="E33" s="26">
        <v>318000</v>
      </c>
      <c r="F33" s="26">
        <v>250000</v>
      </c>
      <c r="G33" s="26">
        <v>420000</v>
      </c>
      <c r="H33" s="26">
        <v>440000</v>
      </c>
      <c r="I33" s="26">
        <v>280000</v>
      </c>
      <c r="J33" s="26">
        <v>325422</v>
      </c>
      <c r="K33" s="26">
        <v>288000</v>
      </c>
      <c r="L33" s="26">
        <v>268720</v>
      </c>
      <c r="M33" s="26">
        <v>401000</v>
      </c>
      <c r="N33" s="27">
        <f t="shared" si="4"/>
        <v>3456142</v>
      </c>
      <c r="O33" s="3">
        <v>3476142</v>
      </c>
      <c r="P33" s="22">
        <f t="shared" si="5"/>
        <v>20000</v>
      </c>
    </row>
    <row r="34" spans="1:16" ht="14.25" customHeight="1">
      <c r="A34" s="25" t="s">
        <v>46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f t="shared" si="4"/>
        <v>0</v>
      </c>
      <c r="O34" s="3">
        <v>0</v>
      </c>
      <c r="P34" s="22">
        <f t="shared" si="5"/>
        <v>0</v>
      </c>
    </row>
    <row r="35" spans="1:16" ht="14.25" customHeight="1">
      <c r="A35" s="28" t="s">
        <v>47</v>
      </c>
      <c r="B35" s="26">
        <v>20000</v>
      </c>
      <c r="C35" s="26">
        <v>0</v>
      </c>
      <c r="D35" s="26">
        <v>0</v>
      </c>
      <c r="E35" s="26">
        <v>21000</v>
      </c>
      <c r="F35" s="26">
        <v>45000</v>
      </c>
      <c r="G35" s="26">
        <v>42000</v>
      </c>
      <c r="H35" s="26">
        <f>150000-50000</f>
        <v>100000</v>
      </c>
      <c r="I35" s="26">
        <v>140000</v>
      </c>
      <c r="J35" s="26">
        <v>120091</v>
      </c>
      <c r="K35" s="26">
        <v>95000</v>
      </c>
      <c r="L35" s="26">
        <v>67000</v>
      </c>
      <c r="M35" s="26">
        <v>51000</v>
      </c>
      <c r="N35" s="27">
        <f t="shared" si="4"/>
        <v>701091</v>
      </c>
      <c r="O35" s="3">
        <v>731091</v>
      </c>
      <c r="P35" s="22">
        <f t="shared" si="5"/>
        <v>30000</v>
      </c>
    </row>
    <row r="36" spans="1:16" ht="14.25" customHeight="1">
      <c r="A36" s="25" t="s">
        <v>48</v>
      </c>
      <c r="B36" s="26">
        <v>0</v>
      </c>
      <c r="C36" s="26">
        <v>0</v>
      </c>
      <c r="D36" s="26">
        <f>2550+2440+2640</f>
        <v>7630</v>
      </c>
      <c r="E36" s="26">
        <v>0</v>
      </c>
      <c r="F36" s="26">
        <v>0</v>
      </c>
      <c r="G36" s="26">
        <v>7450</v>
      </c>
      <c r="H36" s="26">
        <v>0</v>
      </c>
      <c r="I36" s="26">
        <v>0</v>
      </c>
      <c r="J36" s="26">
        <v>7800</v>
      </c>
      <c r="K36" s="26">
        <v>0</v>
      </c>
      <c r="L36" s="26">
        <v>0</v>
      </c>
      <c r="M36" s="26">
        <v>8800</v>
      </c>
      <c r="N36" s="27">
        <f t="shared" si="4"/>
        <v>31680</v>
      </c>
      <c r="O36" s="3">
        <v>31680</v>
      </c>
      <c r="P36" s="22">
        <f t="shared" si="5"/>
        <v>0</v>
      </c>
    </row>
    <row r="37" spans="1:16" ht="14.25" customHeight="1" thickBot="1">
      <c r="A37" s="25" t="s">
        <v>49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f t="shared" si="4"/>
        <v>0</v>
      </c>
      <c r="O37" s="3">
        <v>0</v>
      </c>
      <c r="P37" s="22">
        <f t="shared" si="5"/>
        <v>0</v>
      </c>
    </row>
    <row r="38" spans="1:15" ht="15.75" customHeight="1" thickBot="1">
      <c r="A38" s="2" t="s">
        <v>50</v>
      </c>
      <c r="B38" s="12">
        <f aca="true" t="shared" si="6" ref="B38:N38">SUM(B23:B37)</f>
        <v>2211231</v>
      </c>
      <c r="C38" s="12">
        <f t="shared" si="6"/>
        <v>2038782</v>
      </c>
      <c r="D38" s="12">
        <f t="shared" si="6"/>
        <v>2030416</v>
      </c>
      <c r="E38" s="12">
        <f t="shared" si="6"/>
        <v>2003967</v>
      </c>
      <c r="F38" s="12">
        <f t="shared" si="6"/>
        <v>1806986</v>
      </c>
      <c r="G38" s="12">
        <f t="shared" si="6"/>
        <v>1898637</v>
      </c>
      <c r="H38" s="12">
        <f t="shared" si="6"/>
        <v>1898146</v>
      </c>
      <c r="I38" s="12">
        <f t="shared" si="6"/>
        <v>1893696</v>
      </c>
      <c r="J38" s="12">
        <f t="shared" si="6"/>
        <v>2154841</v>
      </c>
      <c r="K38" s="12">
        <f t="shared" si="6"/>
        <v>2150070</v>
      </c>
      <c r="L38" s="12">
        <f t="shared" si="6"/>
        <v>2323073</v>
      </c>
      <c r="M38" s="12">
        <f t="shared" si="6"/>
        <v>2317078</v>
      </c>
      <c r="N38" s="16">
        <f t="shared" si="6"/>
        <v>24726923</v>
      </c>
      <c r="O38" s="3">
        <f>SUM(O23:O37)</f>
        <v>24726923</v>
      </c>
    </row>
    <row r="40" spans="2:14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2" spans="1:14" ht="12.75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4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6" r:id="rId1"/>
  <headerFooter alignWithMargins="0">
    <oddHeader>&amp;L"B" változat&amp;R&amp;"Times New Roman CE,Normál"&amp;12A költségvetési rendelettervezet 9.sz.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3" sqref="H33"/>
    </sheetView>
  </sheetViews>
  <sheetFormatPr defaultColWidth="9.00390625" defaultRowHeight="12.75"/>
  <cols>
    <col min="1" max="1" width="28.00390625" style="0" customWidth="1"/>
    <col min="2" max="9" width="10.75390625" style="0" customWidth="1"/>
    <col min="10" max="10" width="10.75390625" style="17" customWidth="1"/>
    <col min="11" max="14" width="10.75390625" style="0" customWidth="1"/>
    <col min="15" max="15" width="12.625" style="3" customWidth="1"/>
    <col min="16" max="16" width="11.75390625" style="0" customWidth="1"/>
    <col min="17" max="17" width="12.00390625" style="0" customWidth="1"/>
    <col min="18" max="18" width="9.25390625" style="0" customWidth="1"/>
  </cols>
  <sheetData>
    <row r="1" spans="1:14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0"/>
      <c r="N2" s="21" t="s">
        <v>1</v>
      </c>
    </row>
    <row r="3" spans="1:14" ht="19.5" customHeight="1" thickBo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4" t="s">
        <v>15</v>
      </c>
    </row>
    <row r="4" spans="1:14" ht="18.75">
      <c r="A4" s="6" t="s">
        <v>16</v>
      </c>
      <c r="B4" s="7"/>
      <c r="C4" s="7"/>
      <c r="D4" s="7"/>
      <c r="E4" s="7"/>
      <c r="F4" s="7"/>
      <c r="G4" s="7"/>
      <c r="H4" s="7"/>
      <c r="I4" s="7"/>
      <c r="J4" s="14"/>
      <c r="K4" s="14"/>
      <c r="L4" s="14"/>
      <c r="M4" s="14"/>
      <c r="N4" s="15"/>
    </row>
    <row r="5" spans="1:16" ht="14.25" customHeight="1">
      <c r="A5" s="25" t="s">
        <v>17</v>
      </c>
      <c r="B5" s="26">
        <v>295300</v>
      </c>
      <c r="C5" s="26">
        <v>299400</v>
      </c>
      <c r="D5" s="26">
        <v>299400</v>
      </c>
      <c r="E5" s="26">
        <v>293300</v>
      </c>
      <c r="F5" s="26">
        <f>293300+5910</f>
        <v>299210</v>
      </c>
      <c r="G5" s="26">
        <v>291600</v>
      </c>
      <c r="H5" s="26">
        <v>249000</v>
      </c>
      <c r="I5" s="26">
        <v>279180</v>
      </c>
      <c r="J5" s="26">
        <v>303380</v>
      </c>
      <c r="K5" s="26">
        <v>290600</v>
      </c>
      <c r="L5" s="26">
        <v>297700</v>
      </c>
      <c r="M5" s="26">
        <v>296250</v>
      </c>
      <c r="N5" s="27">
        <f aca="true" t="shared" si="0" ref="N5:N20">SUM(B5:M5)</f>
        <v>3494320</v>
      </c>
      <c r="O5" s="4"/>
      <c r="P5" s="22">
        <f aca="true" t="shared" si="1" ref="P5:P20">+O5-N5</f>
        <v>-3494320</v>
      </c>
    </row>
    <row r="6" spans="1:16" ht="14.25" customHeight="1">
      <c r="A6" s="28" t="s">
        <v>18</v>
      </c>
      <c r="B6" s="26">
        <v>200238</v>
      </c>
      <c r="C6" s="26">
        <v>200239</v>
      </c>
      <c r="D6" s="26">
        <v>200238</v>
      </c>
      <c r="E6" s="26">
        <v>200239</v>
      </c>
      <c r="F6" s="26">
        <v>200238</v>
      </c>
      <c r="G6" s="26">
        <v>200239</v>
      </c>
      <c r="H6" s="26">
        <v>200238</v>
      </c>
      <c r="I6" s="26">
        <v>200238</v>
      </c>
      <c r="J6" s="26">
        <v>200239</v>
      </c>
      <c r="K6" s="26">
        <v>200238</v>
      </c>
      <c r="L6" s="26">
        <v>200239</v>
      </c>
      <c r="M6" s="26">
        <v>200238</v>
      </c>
      <c r="N6" s="27">
        <f t="shared" si="0"/>
        <v>2402861</v>
      </c>
      <c r="P6" s="22">
        <f t="shared" si="1"/>
        <v>-2402861</v>
      </c>
    </row>
    <row r="7" spans="1:16" ht="14.25" customHeight="1">
      <c r="A7" s="28" t="s">
        <v>19</v>
      </c>
      <c r="B7" s="26">
        <v>10000</v>
      </c>
      <c r="C7" s="26">
        <v>10000</v>
      </c>
      <c r="D7" s="26">
        <v>30000</v>
      </c>
      <c r="E7" s="26">
        <v>50000</v>
      </c>
      <c r="F7" s="26">
        <f>50000+2743</f>
        <v>52743</v>
      </c>
      <c r="G7" s="26">
        <v>60000</v>
      </c>
      <c r="H7" s="26">
        <v>58750</v>
      </c>
      <c r="I7" s="26">
        <v>60000</v>
      </c>
      <c r="J7" s="26">
        <v>50000</v>
      </c>
      <c r="K7" s="26">
        <v>45000</v>
      </c>
      <c r="L7" s="26">
        <v>45000</v>
      </c>
      <c r="M7" s="26">
        <v>43000</v>
      </c>
      <c r="N7" s="27">
        <f t="shared" si="0"/>
        <v>514493</v>
      </c>
      <c r="O7" s="4"/>
      <c r="P7" s="22">
        <f t="shared" si="1"/>
        <v>-514493</v>
      </c>
    </row>
    <row r="8" spans="1:16" ht="14.25" customHeight="1">
      <c r="A8" s="28" t="s">
        <v>20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si="0"/>
        <v>0</v>
      </c>
      <c r="O8" s="5"/>
      <c r="P8" s="22">
        <f t="shared" si="1"/>
        <v>0</v>
      </c>
    </row>
    <row r="9" spans="1:16" ht="14.25" customHeight="1">
      <c r="A9" s="28" t="s">
        <v>21</v>
      </c>
      <c r="B9" s="26">
        <f>483806+50000</f>
        <v>533806</v>
      </c>
      <c r="C9" s="26">
        <v>483807</v>
      </c>
      <c r="D9" s="26">
        <v>483806</v>
      </c>
      <c r="E9" s="26">
        <v>483807</v>
      </c>
      <c r="F9" s="26">
        <f>483806+230228</f>
        <v>714034</v>
      </c>
      <c r="G9" s="26">
        <v>483807</v>
      </c>
      <c r="H9" s="26">
        <v>483806</v>
      </c>
      <c r="I9" s="26">
        <v>483807</v>
      </c>
      <c r="J9" s="26">
        <v>483806</v>
      </c>
      <c r="K9" s="26">
        <v>483807</v>
      </c>
      <c r="L9" s="26">
        <v>483807</v>
      </c>
      <c r="M9" s="26">
        <v>483807</v>
      </c>
      <c r="N9" s="27">
        <f t="shared" si="0"/>
        <v>6085907</v>
      </c>
      <c r="P9" s="22">
        <f t="shared" si="1"/>
        <v>-6085907</v>
      </c>
    </row>
    <row r="10" spans="1:16" ht="14.25" customHeight="1">
      <c r="A10" s="28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f>111386</f>
        <v>111386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f t="shared" si="0"/>
        <v>111386</v>
      </c>
      <c r="P10" s="22">
        <f t="shared" si="1"/>
        <v>-111386</v>
      </c>
    </row>
    <row r="11" spans="1:16" ht="14.25" customHeight="1">
      <c r="A11" s="28" t="s">
        <v>23</v>
      </c>
      <c r="B11" s="26">
        <v>378000</v>
      </c>
      <c r="C11" s="26">
        <v>376000</v>
      </c>
      <c r="D11" s="26">
        <v>376000</v>
      </c>
      <c r="E11" s="26">
        <v>379812</v>
      </c>
      <c r="F11" s="26">
        <f>376000+185462</f>
        <v>561462</v>
      </c>
      <c r="G11" s="26">
        <v>376000</v>
      </c>
      <c r="H11" s="26">
        <v>376000</v>
      </c>
      <c r="I11" s="26">
        <v>376000</v>
      </c>
      <c r="J11" s="26">
        <v>376000</v>
      </c>
      <c r="K11" s="26">
        <v>376000</v>
      </c>
      <c r="L11" s="26">
        <v>376000</v>
      </c>
      <c r="M11" s="26">
        <v>376000</v>
      </c>
      <c r="N11" s="27">
        <f t="shared" si="0"/>
        <v>4703274</v>
      </c>
      <c r="P11" s="22">
        <f t="shared" si="1"/>
        <v>-4703274</v>
      </c>
    </row>
    <row r="12" spans="1:16" ht="14.25" customHeight="1">
      <c r="A12" s="25" t="s">
        <v>24</v>
      </c>
      <c r="B12" s="26">
        <v>779121</v>
      </c>
      <c r="C12" s="26">
        <v>779121</v>
      </c>
      <c r="D12" s="26">
        <v>779121</v>
      </c>
      <c r="E12" s="26">
        <v>779121</v>
      </c>
      <c r="F12" s="26">
        <f>779121+23585</f>
        <v>802706</v>
      </c>
      <c r="G12" s="26">
        <v>779121</v>
      </c>
      <c r="H12" s="26">
        <v>779121</v>
      </c>
      <c r="I12" s="26">
        <v>779121</v>
      </c>
      <c r="J12" s="26">
        <v>779121</v>
      </c>
      <c r="K12" s="26">
        <v>779121</v>
      </c>
      <c r="L12" s="26">
        <v>779121</v>
      </c>
      <c r="M12" s="26">
        <v>779122</v>
      </c>
      <c r="N12" s="27">
        <f t="shared" si="0"/>
        <v>9373038</v>
      </c>
      <c r="P12" s="22">
        <f t="shared" si="1"/>
        <v>-9373038</v>
      </c>
    </row>
    <row r="13" spans="1:16" ht="14.25" customHeight="1">
      <c r="A13" s="25" t="s">
        <v>25</v>
      </c>
      <c r="B13" s="26">
        <v>5400</v>
      </c>
      <c r="C13" s="26">
        <v>3600</v>
      </c>
      <c r="D13" s="26">
        <v>4000</v>
      </c>
      <c r="E13" s="26">
        <v>150000</v>
      </c>
      <c r="F13" s="26">
        <f>18000</f>
        <v>18000</v>
      </c>
      <c r="G13" s="26">
        <v>22000</v>
      </c>
      <c r="H13" s="26">
        <v>28000</v>
      </c>
      <c r="I13" s="26">
        <v>18000</v>
      </c>
      <c r="J13" s="26">
        <v>150000</v>
      </c>
      <c r="K13" s="26">
        <v>10000</v>
      </c>
      <c r="L13" s="26">
        <v>18000</v>
      </c>
      <c r="M13" s="26">
        <v>28000</v>
      </c>
      <c r="N13" s="27">
        <f t="shared" si="0"/>
        <v>455000</v>
      </c>
      <c r="P13" s="22">
        <f t="shared" si="1"/>
        <v>-455000</v>
      </c>
    </row>
    <row r="14" spans="1:16" ht="14.25" customHeight="1">
      <c r="A14" s="25" t="s">
        <v>26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f t="shared" si="0"/>
        <v>0</v>
      </c>
      <c r="P14" s="22">
        <f t="shared" si="1"/>
        <v>0</v>
      </c>
    </row>
    <row r="15" spans="1:16" ht="14.25" customHeight="1">
      <c r="A15" s="28" t="s">
        <v>27</v>
      </c>
      <c r="B15" s="26">
        <v>2450</v>
      </c>
      <c r="C15" s="26">
        <v>2450</v>
      </c>
      <c r="D15" s="26">
        <v>2450</v>
      </c>
      <c r="E15" s="26">
        <v>2450</v>
      </c>
      <c r="F15" s="26">
        <v>2500</v>
      </c>
      <c r="G15" s="26">
        <v>2500</v>
      </c>
      <c r="H15" s="26">
        <v>2500</v>
      </c>
      <c r="I15" s="26">
        <v>2500</v>
      </c>
      <c r="J15" s="26">
        <v>2550</v>
      </c>
      <c r="K15" s="26">
        <v>2550</v>
      </c>
      <c r="L15" s="26">
        <v>2550</v>
      </c>
      <c r="M15" s="26">
        <v>2550</v>
      </c>
      <c r="N15" s="27">
        <f t="shared" si="0"/>
        <v>30000</v>
      </c>
      <c r="P15" s="22">
        <f t="shared" si="1"/>
        <v>-30000</v>
      </c>
    </row>
    <row r="16" spans="1:16" ht="14.25" customHeight="1">
      <c r="A16" s="28" t="s">
        <v>28</v>
      </c>
      <c r="B16" s="26">
        <v>88000</v>
      </c>
      <c r="C16" s="26">
        <v>79000</v>
      </c>
      <c r="D16" s="26">
        <v>70000</v>
      </c>
      <c r="E16" s="26">
        <v>59000</v>
      </c>
      <c r="F16" s="26">
        <f>59000+291892</f>
        <v>350892</v>
      </c>
      <c r="G16" s="26">
        <v>45000</v>
      </c>
      <c r="H16" s="26">
        <v>45000</v>
      </c>
      <c r="I16" s="26">
        <v>45000</v>
      </c>
      <c r="J16" s="26">
        <v>45285</v>
      </c>
      <c r="K16" s="26">
        <v>56000</v>
      </c>
      <c r="L16" s="26">
        <v>60000</v>
      </c>
      <c r="M16" s="26">
        <v>64000</v>
      </c>
      <c r="N16" s="27">
        <f t="shared" si="0"/>
        <v>1007177</v>
      </c>
      <c r="P16" s="22">
        <f t="shared" si="1"/>
        <v>-1007177</v>
      </c>
    </row>
    <row r="17" spans="1:16" ht="14.25" customHeight="1">
      <c r="A17" s="28" t="s">
        <v>29</v>
      </c>
      <c r="B17" s="26">
        <v>128000</v>
      </c>
      <c r="C17" s="26">
        <v>185800</v>
      </c>
      <c r="D17" s="26">
        <v>255000</v>
      </c>
      <c r="E17" s="26">
        <v>346000</v>
      </c>
      <c r="F17" s="26">
        <f>300000+8703487</f>
        <v>9003487</v>
      </c>
      <c r="G17" s="26">
        <v>359000</v>
      </c>
      <c r="H17" s="26">
        <v>388000</v>
      </c>
      <c r="I17" s="26">
        <v>301000</v>
      </c>
      <c r="J17" s="26">
        <v>318000</v>
      </c>
      <c r="K17" s="26">
        <v>268000</v>
      </c>
      <c r="L17" s="26">
        <v>250000</v>
      </c>
      <c r="M17" s="26">
        <v>157552</v>
      </c>
      <c r="N17" s="27">
        <f t="shared" si="0"/>
        <v>11959839</v>
      </c>
      <c r="P17" s="22">
        <f t="shared" si="1"/>
        <v>-11959839</v>
      </c>
    </row>
    <row r="18" spans="1:16" ht="14.25" customHeight="1">
      <c r="A18" s="28" t="s">
        <v>30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f t="shared" si="0"/>
        <v>0</v>
      </c>
      <c r="P18" s="22">
        <f t="shared" si="1"/>
        <v>0</v>
      </c>
    </row>
    <row r="19" spans="1:16" ht="14.25" customHeight="1">
      <c r="A19" s="28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f t="shared" si="0"/>
        <v>0</v>
      </c>
      <c r="P19" s="22">
        <f t="shared" si="1"/>
        <v>0</v>
      </c>
    </row>
    <row r="20" spans="1:16" ht="14.25" customHeight="1" thickBot="1">
      <c r="A20" s="35" t="s">
        <v>32</v>
      </c>
      <c r="B20" s="26">
        <f aca="true" t="shared" si="2" ref="B20:M20">-B9</f>
        <v>-533806</v>
      </c>
      <c r="C20" s="26">
        <f t="shared" si="2"/>
        <v>-483807</v>
      </c>
      <c r="D20" s="26">
        <f t="shared" si="2"/>
        <v>-483806</v>
      </c>
      <c r="E20" s="26">
        <f t="shared" si="2"/>
        <v>-483807</v>
      </c>
      <c r="F20" s="26">
        <f>-F9-F10</f>
        <v>-825420</v>
      </c>
      <c r="G20" s="26">
        <f t="shared" si="2"/>
        <v>-483807</v>
      </c>
      <c r="H20" s="26">
        <f t="shared" si="2"/>
        <v>-483806</v>
      </c>
      <c r="I20" s="26">
        <f t="shared" si="2"/>
        <v>-483807</v>
      </c>
      <c r="J20" s="26">
        <f t="shared" si="2"/>
        <v>-483806</v>
      </c>
      <c r="K20" s="26">
        <f t="shared" si="2"/>
        <v>-483807</v>
      </c>
      <c r="L20" s="26">
        <f t="shared" si="2"/>
        <v>-483807</v>
      </c>
      <c r="M20" s="26">
        <f t="shared" si="2"/>
        <v>-483807</v>
      </c>
      <c r="N20" s="27">
        <f t="shared" si="0"/>
        <v>-6197293</v>
      </c>
      <c r="P20" s="22">
        <f t="shared" si="1"/>
        <v>6197293</v>
      </c>
    </row>
    <row r="21" spans="1:14" ht="15.75" customHeight="1" thickBot="1">
      <c r="A21" s="2" t="s">
        <v>33</v>
      </c>
      <c r="B21" s="11">
        <f aca="true" t="shared" si="3" ref="B21:N21">SUM(B5:B20)</f>
        <v>1886509</v>
      </c>
      <c r="C21" s="11">
        <f t="shared" si="3"/>
        <v>1935610</v>
      </c>
      <c r="D21" s="11">
        <f t="shared" si="3"/>
        <v>2016209</v>
      </c>
      <c r="E21" s="11">
        <f t="shared" si="3"/>
        <v>2259922</v>
      </c>
      <c r="F21" s="11">
        <f t="shared" si="3"/>
        <v>11291238</v>
      </c>
      <c r="G21" s="11">
        <f t="shared" si="3"/>
        <v>2135460</v>
      </c>
      <c r="H21" s="11">
        <f t="shared" si="3"/>
        <v>2126609</v>
      </c>
      <c r="I21" s="11">
        <f t="shared" si="3"/>
        <v>2061039</v>
      </c>
      <c r="J21" s="11">
        <f t="shared" si="3"/>
        <v>2224575</v>
      </c>
      <c r="K21" s="11">
        <f t="shared" si="3"/>
        <v>2027509</v>
      </c>
      <c r="L21" s="11">
        <f t="shared" si="3"/>
        <v>2028610</v>
      </c>
      <c r="M21" s="11">
        <f t="shared" si="3"/>
        <v>1946712</v>
      </c>
      <c r="N21" s="16">
        <f t="shared" si="3"/>
        <v>33940002</v>
      </c>
    </row>
    <row r="22" spans="1:14" ht="18.75">
      <c r="A22" s="8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6" ht="14.25" customHeight="1">
      <c r="A23" s="25" t="s">
        <v>35</v>
      </c>
      <c r="B23" s="26">
        <v>835000</v>
      </c>
      <c r="C23" s="26">
        <v>698000</v>
      </c>
      <c r="D23" s="26">
        <v>698000</v>
      </c>
      <c r="E23" s="26">
        <v>750000</v>
      </c>
      <c r="F23" s="26">
        <f>698000+95428</f>
        <v>793428</v>
      </c>
      <c r="G23" s="26">
        <v>750000</v>
      </c>
      <c r="H23" s="26">
        <v>700000</v>
      </c>
      <c r="I23" s="26">
        <v>700000</v>
      </c>
      <c r="J23" s="26">
        <v>750000</v>
      </c>
      <c r="K23" s="26">
        <v>700000</v>
      </c>
      <c r="L23" s="26">
        <v>800000</v>
      </c>
      <c r="M23" s="26">
        <v>735608</v>
      </c>
      <c r="N23" s="27">
        <f aca="true" t="shared" si="4" ref="N23:N37">SUM(B23:M23)</f>
        <v>8910036</v>
      </c>
      <c r="P23" s="22">
        <f aca="true" t="shared" si="5" ref="P23:P37">+O23-N23</f>
        <v>-8910036</v>
      </c>
    </row>
    <row r="24" spans="1:16" ht="14.25" customHeight="1">
      <c r="A24" s="28" t="s">
        <v>36</v>
      </c>
      <c r="B24" s="26">
        <v>251996</v>
      </c>
      <c r="C24" s="26">
        <v>208747</v>
      </c>
      <c r="D24" s="26">
        <v>208746</v>
      </c>
      <c r="E24" s="26">
        <v>224747</v>
      </c>
      <c r="F24" s="26">
        <f>208746+27488</f>
        <v>236234</v>
      </c>
      <c r="G24" s="26">
        <v>224947</v>
      </c>
      <c r="H24" s="26">
        <v>209996</v>
      </c>
      <c r="I24" s="26">
        <v>209996</v>
      </c>
      <c r="J24" s="26">
        <v>224247</v>
      </c>
      <c r="K24" s="26">
        <v>209296</v>
      </c>
      <c r="L24" s="26">
        <v>239135</v>
      </c>
      <c r="M24" s="26">
        <v>219940</v>
      </c>
      <c r="N24" s="27">
        <f t="shared" si="4"/>
        <v>2668027</v>
      </c>
      <c r="P24" s="22">
        <f t="shared" si="5"/>
        <v>-2668027</v>
      </c>
    </row>
    <row r="25" spans="1:16" ht="14.25" customHeight="1">
      <c r="A25" s="28" t="s">
        <v>37</v>
      </c>
      <c r="B25" s="26">
        <f>925195+50000</f>
        <v>975195</v>
      </c>
      <c r="C25" s="26">
        <v>925195</v>
      </c>
      <c r="D25" s="26">
        <v>840000</v>
      </c>
      <c r="E25" s="26">
        <v>640180</v>
      </c>
      <c r="F25" s="26">
        <f>474200+239274</f>
        <v>713474</v>
      </c>
      <c r="G25" s="26">
        <v>394200</v>
      </c>
      <c r="H25" s="26">
        <v>324150</v>
      </c>
      <c r="I25" s="26">
        <v>374200</v>
      </c>
      <c r="J25" s="26">
        <v>575014</v>
      </c>
      <c r="K25" s="26">
        <v>750600</v>
      </c>
      <c r="L25" s="26">
        <v>820145</v>
      </c>
      <c r="M25" s="26">
        <v>863680</v>
      </c>
      <c r="N25" s="27">
        <f t="shared" si="4"/>
        <v>8196033</v>
      </c>
      <c r="P25" s="22">
        <f t="shared" si="5"/>
        <v>-8196033</v>
      </c>
    </row>
    <row r="26" spans="1:16" ht="14.25" customHeight="1">
      <c r="A26" s="25" t="s">
        <v>38</v>
      </c>
      <c r="B26" s="26">
        <v>0</v>
      </c>
      <c r="C26" s="26">
        <v>0</v>
      </c>
      <c r="D26" s="26">
        <v>0</v>
      </c>
      <c r="E26" s="26">
        <v>1000</v>
      </c>
      <c r="F26" s="26">
        <v>0</v>
      </c>
      <c r="G26" s="26">
        <v>0</v>
      </c>
      <c r="H26" s="26">
        <v>0</v>
      </c>
      <c r="I26" s="26">
        <v>0</v>
      </c>
      <c r="J26" s="26">
        <v>1000</v>
      </c>
      <c r="K26" s="26">
        <v>0</v>
      </c>
      <c r="L26" s="26">
        <v>961</v>
      </c>
      <c r="M26" s="26">
        <v>0</v>
      </c>
      <c r="N26" s="27">
        <f t="shared" si="4"/>
        <v>2961</v>
      </c>
      <c r="P26" s="22">
        <f t="shared" si="5"/>
        <v>-2961</v>
      </c>
    </row>
    <row r="27" spans="1:16" ht="14.25" customHeight="1">
      <c r="A27" s="25" t="s">
        <v>39</v>
      </c>
      <c r="B27" s="26">
        <v>0</v>
      </c>
      <c r="C27" s="26">
        <v>0</v>
      </c>
      <c r="D27" s="26">
        <v>50000</v>
      </c>
      <c r="E27" s="26">
        <v>0</v>
      </c>
      <c r="F27" s="26">
        <v>50000</v>
      </c>
      <c r="G27" s="26">
        <v>7000</v>
      </c>
      <c r="H27" s="26">
        <v>8000</v>
      </c>
      <c r="I27" s="26">
        <v>100000</v>
      </c>
      <c r="J27" s="26">
        <v>50000</v>
      </c>
      <c r="K27" s="26">
        <v>0</v>
      </c>
      <c r="L27" s="26">
        <v>50000</v>
      </c>
      <c r="M27" s="26">
        <v>0</v>
      </c>
      <c r="N27" s="27">
        <f t="shared" si="4"/>
        <v>315000</v>
      </c>
      <c r="P27" s="22">
        <f t="shared" si="5"/>
        <v>-315000</v>
      </c>
    </row>
    <row r="28" spans="1:16" ht="14.25" customHeight="1">
      <c r="A28" s="25" t="s">
        <v>40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f t="shared" si="4"/>
        <v>0</v>
      </c>
      <c r="P28" s="22">
        <f t="shared" si="5"/>
        <v>0</v>
      </c>
    </row>
    <row r="29" spans="1:16" ht="14.25" customHeight="1">
      <c r="A29" s="25" t="s">
        <v>41</v>
      </c>
      <c r="B29" s="26">
        <v>0</v>
      </c>
      <c r="C29" s="26">
        <v>0</v>
      </c>
      <c r="D29" s="26">
        <v>0</v>
      </c>
      <c r="E29" s="26">
        <v>3000</v>
      </c>
      <c r="F29" s="26">
        <f>25000+127854</f>
        <v>152854</v>
      </c>
      <c r="G29" s="26">
        <v>4000</v>
      </c>
      <c r="H29" s="26">
        <v>40000</v>
      </c>
      <c r="I29" s="26">
        <v>3500</v>
      </c>
      <c r="J29" s="26">
        <v>8000</v>
      </c>
      <c r="K29" s="26">
        <v>9964</v>
      </c>
      <c r="L29" s="26">
        <v>18000</v>
      </c>
      <c r="M29" s="26">
        <v>8000</v>
      </c>
      <c r="N29" s="27">
        <f t="shared" si="4"/>
        <v>247318</v>
      </c>
      <c r="P29" s="22">
        <f t="shared" si="5"/>
        <v>-247318</v>
      </c>
    </row>
    <row r="30" spans="1:16" ht="14.25" customHeight="1">
      <c r="A30" s="25" t="s">
        <v>42</v>
      </c>
      <c r="B30" s="26">
        <v>0</v>
      </c>
      <c r="C30" s="26">
        <v>0</v>
      </c>
      <c r="D30" s="26">
        <v>0</v>
      </c>
      <c r="E30" s="26">
        <v>0</v>
      </c>
      <c r="F30" s="26">
        <f>43790</f>
        <v>43790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f t="shared" si="4"/>
        <v>43790</v>
      </c>
      <c r="P30" s="22">
        <f t="shared" si="5"/>
        <v>-43790</v>
      </c>
    </row>
    <row r="31" spans="1:16" ht="14.25" customHeight="1">
      <c r="A31" s="28" t="s">
        <v>43</v>
      </c>
      <c r="B31" s="26">
        <v>21040</v>
      </c>
      <c r="C31" s="26">
        <v>21040</v>
      </c>
      <c r="D31" s="26">
        <v>21040</v>
      </c>
      <c r="E31" s="26">
        <v>21040</v>
      </c>
      <c r="F31" s="26">
        <f>21040+329</f>
        <v>21369</v>
      </c>
      <c r="G31" s="26">
        <v>21040</v>
      </c>
      <c r="H31" s="26">
        <v>21000</v>
      </c>
      <c r="I31" s="26">
        <v>21000</v>
      </c>
      <c r="J31" s="26">
        <v>21050</v>
      </c>
      <c r="K31" s="26">
        <v>21050</v>
      </c>
      <c r="L31" s="26">
        <v>21112</v>
      </c>
      <c r="M31" s="26">
        <v>21050</v>
      </c>
      <c r="N31" s="27">
        <f t="shared" si="4"/>
        <v>252831</v>
      </c>
      <c r="P31" s="22">
        <f t="shared" si="5"/>
        <v>-252831</v>
      </c>
    </row>
    <row r="32" spans="1:16" ht="14.25" customHeight="1">
      <c r="A32" s="28" t="s">
        <v>44</v>
      </c>
      <c r="B32" s="26">
        <v>3000</v>
      </c>
      <c r="C32" s="26">
        <v>5800</v>
      </c>
      <c r="D32" s="26">
        <v>25000</v>
      </c>
      <c r="E32" s="26">
        <v>25000</v>
      </c>
      <c r="F32" s="26">
        <f>35000+16796</f>
        <v>51796</v>
      </c>
      <c r="G32" s="26">
        <v>28000</v>
      </c>
      <c r="H32" s="26">
        <v>55000</v>
      </c>
      <c r="I32" s="26">
        <v>65000</v>
      </c>
      <c r="J32" s="26">
        <v>72217</v>
      </c>
      <c r="K32" s="26">
        <v>76160</v>
      </c>
      <c r="L32" s="26">
        <v>38000</v>
      </c>
      <c r="M32" s="26">
        <v>8000</v>
      </c>
      <c r="N32" s="27">
        <f t="shared" si="4"/>
        <v>452973</v>
      </c>
      <c r="P32" s="22">
        <f t="shared" si="5"/>
        <v>-452973</v>
      </c>
    </row>
    <row r="33" spans="1:16" ht="14.25" customHeight="1">
      <c r="A33" s="28" t="s">
        <v>45</v>
      </c>
      <c r="B33" s="26">
        <v>105000</v>
      </c>
      <c r="C33" s="26">
        <v>180000</v>
      </c>
      <c r="D33" s="26">
        <v>180000</v>
      </c>
      <c r="E33" s="26">
        <v>318000</v>
      </c>
      <c r="F33" s="26">
        <f>250000+1076057</f>
        <v>1326057</v>
      </c>
      <c r="G33" s="26">
        <v>420000</v>
      </c>
      <c r="H33" s="26">
        <v>440000</v>
      </c>
      <c r="I33" s="26">
        <v>280000</v>
      </c>
      <c r="J33" s="26">
        <v>325422</v>
      </c>
      <c r="K33" s="26">
        <v>288000</v>
      </c>
      <c r="L33" s="26">
        <v>268720</v>
      </c>
      <c r="M33" s="26">
        <v>401000</v>
      </c>
      <c r="N33" s="27">
        <f t="shared" si="4"/>
        <v>4532199</v>
      </c>
      <c r="P33" s="22">
        <f t="shared" si="5"/>
        <v>-4532199</v>
      </c>
    </row>
    <row r="34" spans="1:16" ht="14.25" customHeight="1">
      <c r="A34" s="25" t="s">
        <v>46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f t="shared" si="4"/>
        <v>0</v>
      </c>
      <c r="P34" s="22">
        <f t="shared" si="5"/>
        <v>0</v>
      </c>
    </row>
    <row r="35" spans="1:16" ht="14.25" customHeight="1">
      <c r="A35" s="28" t="s">
        <v>47</v>
      </c>
      <c r="B35" s="26">
        <v>20000</v>
      </c>
      <c r="C35" s="26">
        <v>0</v>
      </c>
      <c r="D35" s="26">
        <v>0</v>
      </c>
      <c r="E35" s="26">
        <v>21000</v>
      </c>
      <c r="F35" s="26">
        <f>45000+7552084</f>
        <v>7597084</v>
      </c>
      <c r="G35" s="26">
        <v>42000</v>
      </c>
      <c r="H35" s="26">
        <f>150000-50000</f>
        <v>100000</v>
      </c>
      <c r="I35" s="26">
        <v>140000</v>
      </c>
      <c r="J35" s="26">
        <v>120091</v>
      </c>
      <c r="K35" s="26">
        <v>95000</v>
      </c>
      <c r="L35" s="26">
        <v>67000</v>
      </c>
      <c r="M35" s="26">
        <v>51000</v>
      </c>
      <c r="N35" s="27">
        <f t="shared" si="4"/>
        <v>8253175</v>
      </c>
      <c r="P35" s="22">
        <f t="shared" si="5"/>
        <v>-8253175</v>
      </c>
    </row>
    <row r="36" spans="1:16" ht="14.25" customHeight="1">
      <c r="A36" s="25" t="s">
        <v>48</v>
      </c>
      <c r="B36" s="26">
        <v>0</v>
      </c>
      <c r="C36" s="26">
        <v>0</v>
      </c>
      <c r="D36" s="26">
        <f>2550+2440+2640</f>
        <v>7630</v>
      </c>
      <c r="E36" s="26">
        <v>0</v>
      </c>
      <c r="F36" s="26">
        <f>33979</f>
        <v>33979</v>
      </c>
      <c r="G36" s="26">
        <v>7450</v>
      </c>
      <c r="H36" s="26">
        <v>0</v>
      </c>
      <c r="I36" s="26">
        <v>0</v>
      </c>
      <c r="J36" s="26">
        <v>7800</v>
      </c>
      <c r="K36" s="26">
        <v>0</v>
      </c>
      <c r="L36" s="26">
        <v>0</v>
      </c>
      <c r="M36" s="26">
        <v>8800</v>
      </c>
      <c r="N36" s="27">
        <f t="shared" si="4"/>
        <v>65659</v>
      </c>
      <c r="P36" s="22">
        <f t="shared" si="5"/>
        <v>-65659</v>
      </c>
    </row>
    <row r="37" spans="1:16" ht="14.25" customHeight="1" thickBot="1">
      <c r="A37" s="25" t="s">
        <v>49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f t="shared" si="4"/>
        <v>0</v>
      </c>
      <c r="P37" s="22">
        <f t="shared" si="5"/>
        <v>0</v>
      </c>
    </row>
    <row r="38" spans="1:14" ht="15.75" customHeight="1" thickBot="1">
      <c r="A38" s="2" t="s">
        <v>50</v>
      </c>
      <c r="B38" s="12">
        <f aca="true" t="shared" si="6" ref="B38:N38">SUM(B23:B37)</f>
        <v>2211231</v>
      </c>
      <c r="C38" s="12">
        <f t="shared" si="6"/>
        <v>2038782</v>
      </c>
      <c r="D38" s="12">
        <f t="shared" si="6"/>
        <v>2030416</v>
      </c>
      <c r="E38" s="12">
        <f t="shared" si="6"/>
        <v>2003967</v>
      </c>
      <c r="F38" s="12">
        <f t="shared" si="6"/>
        <v>11020065</v>
      </c>
      <c r="G38" s="12">
        <f t="shared" si="6"/>
        <v>1898637</v>
      </c>
      <c r="H38" s="12">
        <f t="shared" si="6"/>
        <v>1898146</v>
      </c>
      <c r="I38" s="12">
        <f t="shared" si="6"/>
        <v>1893696</v>
      </c>
      <c r="J38" s="12">
        <f t="shared" si="6"/>
        <v>2154841</v>
      </c>
      <c r="K38" s="12">
        <f t="shared" si="6"/>
        <v>2150070</v>
      </c>
      <c r="L38" s="12">
        <f t="shared" si="6"/>
        <v>2323073</v>
      </c>
      <c r="M38" s="12">
        <f t="shared" si="6"/>
        <v>2317078</v>
      </c>
      <c r="N38" s="16">
        <f t="shared" si="6"/>
        <v>33940002</v>
      </c>
    </row>
    <row r="40" spans="2:14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2" spans="1:14" ht="12.75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4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rendelettervezet 9.sz.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1" sqref="H11"/>
    </sheetView>
  </sheetViews>
  <sheetFormatPr defaultColWidth="9.00390625" defaultRowHeight="12.75"/>
  <cols>
    <col min="1" max="1" width="28.00390625" style="0" customWidth="1"/>
    <col min="2" max="9" width="10.75390625" style="0" customWidth="1"/>
    <col min="10" max="10" width="10.75390625" style="17" customWidth="1"/>
    <col min="11" max="14" width="10.75390625" style="0" customWidth="1"/>
    <col min="15" max="15" width="12.625" style="3" customWidth="1"/>
    <col min="16" max="16" width="11.75390625" style="0" customWidth="1"/>
    <col min="17" max="17" width="12.00390625" style="0" customWidth="1"/>
    <col min="18" max="18" width="9.25390625" style="0" customWidth="1"/>
  </cols>
  <sheetData>
    <row r="1" spans="1:14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0"/>
      <c r="N2" s="21" t="s">
        <v>1</v>
      </c>
    </row>
    <row r="3" spans="1:14" ht="19.5" customHeight="1" thickBo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4" t="s">
        <v>15</v>
      </c>
    </row>
    <row r="4" spans="1:14" ht="18.75">
      <c r="A4" s="6" t="s">
        <v>16</v>
      </c>
      <c r="B4" s="7"/>
      <c r="C4" s="7"/>
      <c r="D4" s="7"/>
      <c r="E4" s="7"/>
      <c r="F4" s="7"/>
      <c r="G4" s="7"/>
      <c r="H4" s="7"/>
      <c r="I4" s="7"/>
      <c r="J4" s="14"/>
      <c r="K4" s="14"/>
      <c r="L4" s="14"/>
      <c r="M4" s="14"/>
      <c r="N4" s="15"/>
    </row>
    <row r="5" spans="1:16" ht="14.25" customHeight="1">
      <c r="A5" s="25" t="s">
        <v>17</v>
      </c>
      <c r="B5" s="26">
        <v>295300</v>
      </c>
      <c r="C5" s="26">
        <v>299400</v>
      </c>
      <c r="D5" s="26">
        <v>299400</v>
      </c>
      <c r="E5" s="26">
        <v>293300</v>
      </c>
      <c r="F5" s="26">
        <f>293300+5910</f>
        <v>299210</v>
      </c>
      <c r="G5" s="26">
        <v>291600</v>
      </c>
      <c r="H5" s="26">
        <v>249000</v>
      </c>
      <c r="I5" s="26">
        <v>279180</v>
      </c>
      <c r="J5" s="26">
        <v>303380</v>
      </c>
      <c r="K5" s="26">
        <v>290600</v>
      </c>
      <c r="L5" s="26">
        <v>297700</v>
      </c>
      <c r="M5" s="26">
        <v>296250</v>
      </c>
      <c r="N5" s="27">
        <f aca="true" t="shared" si="0" ref="N5:N20">SUM(B5:M5)</f>
        <v>3494320</v>
      </c>
      <c r="O5" s="4"/>
      <c r="P5" s="22">
        <f aca="true" t="shared" si="1" ref="P5:P20">+O5-N5</f>
        <v>-3494320</v>
      </c>
    </row>
    <row r="6" spans="1:16" ht="14.25" customHeight="1">
      <c r="A6" s="28" t="s">
        <v>18</v>
      </c>
      <c r="B6" s="26">
        <v>200238</v>
      </c>
      <c r="C6" s="26">
        <v>200239</v>
      </c>
      <c r="D6" s="26">
        <v>200238</v>
      </c>
      <c r="E6" s="26">
        <v>200239</v>
      </c>
      <c r="F6" s="26">
        <v>200238</v>
      </c>
      <c r="G6" s="26">
        <v>200239</v>
      </c>
      <c r="H6" s="26">
        <v>200238</v>
      </c>
      <c r="I6" s="26">
        <v>200238</v>
      </c>
      <c r="J6" s="26">
        <v>200239</v>
      </c>
      <c r="K6" s="26">
        <v>200238</v>
      </c>
      <c r="L6" s="26">
        <v>200239</v>
      </c>
      <c r="M6" s="26">
        <v>200238</v>
      </c>
      <c r="N6" s="27">
        <f t="shared" si="0"/>
        <v>2402861</v>
      </c>
      <c r="P6" s="22">
        <f t="shared" si="1"/>
        <v>-2402861</v>
      </c>
    </row>
    <row r="7" spans="1:16" ht="14.25" customHeight="1">
      <c r="A7" s="28" t="s">
        <v>19</v>
      </c>
      <c r="B7" s="26">
        <v>10000</v>
      </c>
      <c r="C7" s="26">
        <v>10000</v>
      </c>
      <c r="D7" s="26">
        <v>30000</v>
      </c>
      <c r="E7" s="26">
        <v>50000</v>
      </c>
      <c r="F7" s="26">
        <f>50000+2743</f>
        <v>52743</v>
      </c>
      <c r="G7" s="26">
        <v>60000</v>
      </c>
      <c r="H7" s="26">
        <v>58750</v>
      </c>
      <c r="I7" s="26">
        <v>60000</v>
      </c>
      <c r="J7" s="26">
        <v>50000</v>
      </c>
      <c r="K7" s="26">
        <v>45000</v>
      </c>
      <c r="L7" s="26">
        <v>45000</v>
      </c>
      <c r="M7" s="26">
        <v>43000</v>
      </c>
      <c r="N7" s="27">
        <f t="shared" si="0"/>
        <v>514493</v>
      </c>
      <c r="O7" s="4"/>
      <c r="P7" s="22">
        <f t="shared" si="1"/>
        <v>-514493</v>
      </c>
    </row>
    <row r="8" spans="1:16" ht="14.25" customHeight="1">
      <c r="A8" s="28" t="s">
        <v>20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si="0"/>
        <v>0</v>
      </c>
      <c r="O8" s="5"/>
      <c r="P8" s="22">
        <f t="shared" si="1"/>
        <v>0</v>
      </c>
    </row>
    <row r="9" spans="1:16" ht="14.25" customHeight="1">
      <c r="A9" s="28" t="s">
        <v>21</v>
      </c>
      <c r="B9" s="26">
        <f>483806+50000</f>
        <v>533806</v>
      </c>
      <c r="C9" s="26">
        <v>483807</v>
      </c>
      <c r="D9" s="26">
        <v>483806</v>
      </c>
      <c r="E9" s="26">
        <v>483807</v>
      </c>
      <c r="F9" s="26">
        <f>483806+230228</f>
        <v>714034</v>
      </c>
      <c r="G9" s="26">
        <v>483807</v>
      </c>
      <c r="H9" s="26">
        <v>483806</v>
      </c>
      <c r="I9" s="26">
        <v>483807</v>
      </c>
      <c r="J9" s="26">
        <v>483806</v>
      </c>
      <c r="K9" s="26">
        <v>483807</v>
      </c>
      <c r="L9" s="26">
        <v>483807</v>
      </c>
      <c r="M9" s="26">
        <v>483807</v>
      </c>
      <c r="N9" s="27">
        <f t="shared" si="0"/>
        <v>6085907</v>
      </c>
      <c r="P9" s="22">
        <f t="shared" si="1"/>
        <v>-6085907</v>
      </c>
    </row>
    <row r="10" spans="1:16" ht="14.25" customHeight="1">
      <c r="A10" s="28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f>111386</f>
        <v>111386</v>
      </c>
      <c r="G10" s="26">
        <v>0</v>
      </c>
      <c r="H10" s="26">
        <v>25000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f t="shared" si="0"/>
        <v>136386</v>
      </c>
      <c r="P10" s="22">
        <f t="shared" si="1"/>
        <v>-136386</v>
      </c>
    </row>
    <row r="11" spans="1:16" ht="14.25" customHeight="1">
      <c r="A11" s="28" t="s">
        <v>23</v>
      </c>
      <c r="B11" s="26">
        <v>378000</v>
      </c>
      <c r="C11" s="26">
        <v>376000</v>
      </c>
      <c r="D11" s="26">
        <v>376000</v>
      </c>
      <c r="E11" s="26">
        <v>379812</v>
      </c>
      <c r="F11" s="26">
        <f>376000+185462</f>
        <v>561462</v>
      </c>
      <c r="G11" s="26">
        <v>376000</v>
      </c>
      <c r="H11" s="26">
        <v>376000</v>
      </c>
      <c r="I11" s="26">
        <v>376000</v>
      </c>
      <c r="J11" s="26">
        <v>376000</v>
      </c>
      <c r="K11" s="26">
        <v>376000</v>
      </c>
      <c r="L11" s="26">
        <v>376000</v>
      </c>
      <c r="M11" s="26">
        <v>376000</v>
      </c>
      <c r="N11" s="27">
        <f t="shared" si="0"/>
        <v>4703274</v>
      </c>
      <c r="P11" s="22">
        <f t="shared" si="1"/>
        <v>-4703274</v>
      </c>
    </row>
    <row r="12" spans="1:16" ht="14.25" customHeight="1">
      <c r="A12" s="25" t="s">
        <v>24</v>
      </c>
      <c r="B12" s="26">
        <v>779121</v>
      </c>
      <c r="C12" s="26">
        <v>779121</v>
      </c>
      <c r="D12" s="26">
        <v>779121</v>
      </c>
      <c r="E12" s="26">
        <v>779121</v>
      </c>
      <c r="F12" s="26">
        <f>779121+23585</f>
        <v>802706</v>
      </c>
      <c r="G12" s="26">
        <v>779121</v>
      </c>
      <c r="H12" s="26">
        <v>779121</v>
      </c>
      <c r="I12" s="26">
        <v>779121</v>
      </c>
      <c r="J12" s="26">
        <v>779121</v>
      </c>
      <c r="K12" s="26">
        <v>779121</v>
      </c>
      <c r="L12" s="26">
        <v>779121</v>
      </c>
      <c r="M12" s="26">
        <v>779122</v>
      </c>
      <c r="N12" s="27">
        <f t="shared" si="0"/>
        <v>9373038</v>
      </c>
      <c r="P12" s="22">
        <f t="shared" si="1"/>
        <v>-9373038</v>
      </c>
    </row>
    <row r="13" spans="1:16" ht="14.25" customHeight="1">
      <c r="A13" s="25" t="s">
        <v>25</v>
      </c>
      <c r="B13" s="26">
        <v>5400</v>
      </c>
      <c r="C13" s="26">
        <v>3600</v>
      </c>
      <c r="D13" s="26">
        <v>4000</v>
      </c>
      <c r="E13" s="26">
        <v>150000</v>
      </c>
      <c r="F13" s="26">
        <f>18000</f>
        <v>18000</v>
      </c>
      <c r="G13" s="26">
        <v>22000</v>
      </c>
      <c r="H13" s="26">
        <v>28000</v>
      </c>
      <c r="I13" s="26">
        <v>18000</v>
      </c>
      <c r="J13" s="26">
        <v>150000</v>
      </c>
      <c r="K13" s="26">
        <v>10000</v>
      </c>
      <c r="L13" s="26">
        <v>18000</v>
      </c>
      <c r="M13" s="26">
        <v>28000</v>
      </c>
      <c r="N13" s="27">
        <f t="shared" si="0"/>
        <v>455000</v>
      </c>
      <c r="P13" s="22">
        <f t="shared" si="1"/>
        <v>-455000</v>
      </c>
    </row>
    <row r="14" spans="1:16" ht="14.25" customHeight="1">
      <c r="A14" s="25" t="s">
        <v>26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f t="shared" si="0"/>
        <v>0</v>
      </c>
      <c r="P14" s="22">
        <f t="shared" si="1"/>
        <v>0</v>
      </c>
    </row>
    <row r="15" spans="1:16" ht="14.25" customHeight="1">
      <c r="A15" s="28" t="s">
        <v>27</v>
      </c>
      <c r="B15" s="26">
        <v>2450</v>
      </c>
      <c r="C15" s="26">
        <v>2450</v>
      </c>
      <c r="D15" s="26">
        <v>2450</v>
      </c>
      <c r="E15" s="26">
        <v>2450</v>
      </c>
      <c r="F15" s="26">
        <v>2500</v>
      </c>
      <c r="G15" s="26">
        <v>2500</v>
      </c>
      <c r="H15" s="26">
        <v>2500</v>
      </c>
      <c r="I15" s="26">
        <v>2500</v>
      </c>
      <c r="J15" s="26">
        <v>2550</v>
      </c>
      <c r="K15" s="26">
        <v>2550</v>
      </c>
      <c r="L15" s="26">
        <v>2550</v>
      </c>
      <c r="M15" s="26">
        <v>2550</v>
      </c>
      <c r="N15" s="27">
        <f t="shared" si="0"/>
        <v>30000</v>
      </c>
      <c r="P15" s="22">
        <f t="shared" si="1"/>
        <v>-30000</v>
      </c>
    </row>
    <row r="16" spans="1:16" ht="14.25" customHeight="1">
      <c r="A16" s="28" t="s">
        <v>28</v>
      </c>
      <c r="B16" s="26">
        <v>88000</v>
      </c>
      <c r="C16" s="26">
        <v>79000</v>
      </c>
      <c r="D16" s="26">
        <v>70000</v>
      </c>
      <c r="E16" s="26">
        <v>59000</v>
      </c>
      <c r="F16" s="26">
        <f>59000+291892</f>
        <v>350892</v>
      </c>
      <c r="G16" s="26">
        <v>45000</v>
      </c>
      <c r="H16" s="26">
        <v>45000</v>
      </c>
      <c r="I16" s="26">
        <v>45000</v>
      </c>
      <c r="J16" s="26">
        <v>45285</v>
      </c>
      <c r="K16" s="26">
        <v>56000</v>
      </c>
      <c r="L16" s="26">
        <v>60000</v>
      </c>
      <c r="M16" s="26">
        <v>64000</v>
      </c>
      <c r="N16" s="27">
        <f t="shared" si="0"/>
        <v>1007177</v>
      </c>
      <c r="P16" s="22">
        <f t="shared" si="1"/>
        <v>-1007177</v>
      </c>
    </row>
    <row r="17" spans="1:16" ht="14.25" customHeight="1">
      <c r="A17" s="28" t="s">
        <v>29</v>
      </c>
      <c r="B17" s="26">
        <v>128000</v>
      </c>
      <c r="C17" s="26">
        <v>185800</v>
      </c>
      <c r="D17" s="26">
        <v>255000</v>
      </c>
      <c r="E17" s="26">
        <v>346000</v>
      </c>
      <c r="F17" s="26">
        <f>300000+8703487</f>
        <v>9003487</v>
      </c>
      <c r="G17" s="26">
        <v>359000</v>
      </c>
      <c r="H17" s="26">
        <v>388000</v>
      </c>
      <c r="I17" s="26">
        <v>301000</v>
      </c>
      <c r="J17" s="26">
        <v>318000</v>
      </c>
      <c r="K17" s="26">
        <v>268000</v>
      </c>
      <c r="L17" s="26">
        <v>250000</v>
      </c>
      <c r="M17" s="26">
        <v>157552</v>
      </c>
      <c r="N17" s="27">
        <f t="shared" si="0"/>
        <v>11959839</v>
      </c>
      <c r="P17" s="22">
        <f t="shared" si="1"/>
        <v>-11959839</v>
      </c>
    </row>
    <row r="18" spans="1:16" ht="14.25" customHeight="1">
      <c r="A18" s="28" t="s">
        <v>30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f t="shared" si="0"/>
        <v>0</v>
      </c>
      <c r="P18" s="22">
        <f t="shared" si="1"/>
        <v>0</v>
      </c>
    </row>
    <row r="19" spans="1:16" ht="14.25" customHeight="1">
      <c r="A19" s="28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f t="shared" si="0"/>
        <v>0</v>
      </c>
      <c r="P19" s="22">
        <f t="shared" si="1"/>
        <v>0</v>
      </c>
    </row>
    <row r="20" spans="1:16" ht="14.25" customHeight="1" thickBot="1">
      <c r="A20" s="35" t="s">
        <v>32</v>
      </c>
      <c r="B20" s="26">
        <f>-B9</f>
        <v>-533806</v>
      </c>
      <c r="C20" s="26">
        <f>-C9</f>
        <v>-483807</v>
      </c>
      <c r="D20" s="26">
        <f>-D9</f>
        <v>-483806</v>
      </c>
      <c r="E20" s="26">
        <f>-E9</f>
        <v>-483807</v>
      </c>
      <c r="F20" s="26">
        <f>-F9-F10</f>
        <v>-825420</v>
      </c>
      <c r="G20" s="26">
        <f aca="true" t="shared" si="2" ref="G20:M20">-G9</f>
        <v>-483807</v>
      </c>
      <c r="H20" s="26">
        <f t="shared" si="2"/>
        <v>-483806</v>
      </c>
      <c r="I20" s="26">
        <f t="shared" si="2"/>
        <v>-483807</v>
      </c>
      <c r="J20" s="26">
        <f t="shared" si="2"/>
        <v>-483806</v>
      </c>
      <c r="K20" s="26">
        <f t="shared" si="2"/>
        <v>-483807</v>
      </c>
      <c r="L20" s="26">
        <f t="shared" si="2"/>
        <v>-483807</v>
      </c>
      <c r="M20" s="26">
        <f t="shared" si="2"/>
        <v>-483807</v>
      </c>
      <c r="N20" s="27">
        <f t="shared" si="0"/>
        <v>-6197293</v>
      </c>
      <c r="P20" s="22">
        <f t="shared" si="1"/>
        <v>6197293</v>
      </c>
    </row>
    <row r="21" spans="1:14" ht="15.75" customHeight="1" thickBot="1">
      <c r="A21" s="2" t="s">
        <v>33</v>
      </c>
      <c r="B21" s="11">
        <f aca="true" t="shared" si="3" ref="B21:N21">SUM(B5:B20)</f>
        <v>1886509</v>
      </c>
      <c r="C21" s="11">
        <f t="shared" si="3"/>
        <v>1935610</v>
      </c>
      <c r="D21" s="11">
        <f t="shared" si="3"/>
        <v>2016209</v>
      </c>
      <c r="E21" s="11">
        <f t="shared" si="3"/>
        <v>2259922</v>
      </c>
      <c r="F21" s="11">
        <f t="shared" si="3"/>
        <v>11291238</v>
      </c>
      <c r="G21" s="11">
        <f t="shared" si="3"/>
        <v>2135460</v>
      </c>
      <c r="H21" s="11">
        <f t="shared" si="3"/>
        <v>2151609</v>
      </c>
      <c r="I21" s="11">
        <f t="shared" si="3"/>
        <v>2061039</v>
      </c>
      <c r="J21" s="11">
        <f t="shared" si="3"/>
        <v>2224575</v>
      </c>
      <c r="K21" s="11">
        <f t="shared" si="3"/>
        <v>2027509</v>
      </c>
      <c r="L21" s="11">
        <f t="shared" si="3"/>
        <v>2028610</v>
      </c>
      <c r="M21" s="11">
        <f t="shared" si="3"/>
        <v>1946712</v>
      </c>
      <c r="N21" s="16">
        <f t="shared" si="3"/>
        <v>33965002</v>
      </c>
    </row>
    <row r="22" spans="1:14" ht="18.75">
      <c r="A22" s="8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6" ht="14.25" customHeight="1">
      <c r="A23" s="25" t="s">
        <v>35</v>
      </c>
      <c r="B23" s="26">
        <v>835000</v>
      </c>
      <c r="C23" s="26">
        <v>698000</v>
      </c>
      <c r="D23" s="26">
        <v>698000</v>
      </c>
      <c r="E23" s="26">
        <v>750000</v>
      </c>
      <c r="F23" s="26">
        <f>698000+95428</f>
        <v>793428</v>
      </c>
      <c r="G23" s="26">
        <v>750000</v>
      </c>
      <c r="H23" s="26">
        <v>700000</v>
      </c>
      <c r="I23" s="26">
        <v>700000</v>
      </c>
      <c r="J23" s="26">
        <v>750000</v>
      </c>
      <c r="K23" s="26">
        <v>700000</v>
      </c>
      <c r="L23" s="26">
        <v>800000</v>
      </c>
      <c r="M23" s="26">
        <v>735608</v>
      </c>
      <c r="N23" s="27">
        <f aca="true" t="shared" si="4" ref="N23:N37">SUM(B23:M23)</f>
        <v>8910036</v>
      </c>
      <c r="P23" s="22">
        <f aca="true" t="shared" si="5" ref="P23:P37">+O23-N23</f>
        <v>-8910036</v>
      </c>
    </row>
    <row r="24" spans="1:16" ht="14.25" customHeight="1">
      <c r="A24" s="28" t="s">
        <v>36</v>
      </c>
      <c r="B24" s="26">
        <v>251996</v>
      </c>
      <c r="C24" s="26">
        <v>208747</v>
      </c>
      <c r="D24" s="26">
        <v>208746</v>
      </c>
      <c r="E24" s="26">
        <v>224747</v>
      </c>
      <c r="F24" s="26">
        <f>208746+27488</f>
        <v>236234</v>
      </c>
      <c r="G24" s="26">
        <v>224947</v>
      </c>
      <c r="H24" s="26">
        <v>209996</v>
      </c>
      <c r="I24" s="26">
        <v>209996</v>
      </c>
      <c r="J24" s="26">
        <v>224247</v>
      </c>
      <c r="K24" s="26">
        <v>209296</v>
      </c>
      <c r="L24" s="26">
        <v>239135</v>
      </c>
      <c r="M24" s="26">
        <v>219940</v>
      </c>
      <c r="N24" s="27">
        <f t="shared" si="4"/>
        <v>2668027</v>
      </c>
      <c r="P24" s="22">
        <f t="shared" si="5"/>
        <v>-2668027</v>
      </c>
    </row>
    <row r="25" spans="1:16" ht="14.25" customHeight="1">
      <c r="A25" s="28" t="s">
        <v>37</v>
      </c>
      <c r="B25" s="26">
        <f>925195+50000</f>
        <v>975195</v>
      </c>
      <c r="C25" s="26">
        <v>925195</v>
      </c>
      <c r="D25" s="26">
        <v>840000</v>
      </c>
      <c r="E25" s="26">
        <v>640180</v>
      </c>
      <c r="F25" s="26">
        <f>474200+239274</f>
        <v>713474</v>
      </c>
      <c r="G25" s="26">
        <v>394200</v>
      </c>
      <c r="H25" s="26">
        <v>324150</v>
      </c>
      <c r="I25" s="26">
        <v>374200</v>
      </c>
      <c r="J25" s="26">
        <v>575014</v>
      </c>
      <c r="K25" s="26">
        <v>750600</v>
      </c>
      <c r="L25" s="26">
        <v>820145</v>
      </c>
      <c r="M25" s="26">
        <v>863680</v>
      </c>
      <c r="N25" s="27">
        <f t="shared" si="4"/>
        <v>8196033</v>
      </c>
      <c r="P25" s="22">
        <f t="shared" si="5"/>
        <v>-8196033</v>
      </c>
    </row>
    <row r="26" spans="1:16" ht="14.25" customHeight="1">
      <c r="A26" s="25" t="s">
        <v>38</v>
      </c>
      <c r="B26" s="26">
        <v>0</v>
      </c>
      <c r="C26" s="26">
        <v>0</v>
      </c>
      <c r="D26" s="26">
        <v>0</v>
      </c>
      <c r="E26" s="26">
        <v>1000</v>
      </c>
      <c r="F26" s="26">
        <v>0</v>
      </c>
      <c r="G26" s="26">
        <v>0</v>
      </c>
      <c r="H26" s="26">
        <v>0</v>
      </c>
      <c r="I26" s="26">
        <v>0</v>
      </c>
      <c r="J26" s="26">
        <v>1000</v>
      </c>
      <c r="K26" s="26">
        <v>0</v>
      </c>
      <c r="L26" s="26">
        <v>961</v>
      </c>
      <c r="M26" s="26">
        <v>0</v>
      </c>
      <c r="N26" s="27">
        <f t="shared" si="4"/>
        <v>2961</v>
      </c>
      <c r="P26" s="22">
        <f t="shared" si="5"/>
        <v>-2961</v>
      </c>
    </row>
    <row r="27" spans="1:16" ht="14.25" customHeight="1">
      <c r="A27" s="25" t="s">
        <v>39</v>
      </c>
      <c r="B27" s="26">
        <v>0</v>
      </c>
      <c r="C27" s="26">
        <v>0</v>
      </c>
      <c r="D27" s="26">
        <v>50000</v>
      </c>
      <c r="E27" s="26">
        <v>0</v>
      </c>
      <c r="F27" s="26">
        <v>50000</v>
      </c>
      <c r="G27" s="26">
        <v>7000</v>
      </c>
      <c r="H27" s="26">
        <v>8000</v>
      </c>
      <c r="I27" s="26">
        <v>100000</v>
      </c>
      <c r="J27" s="26">
        <v>50000</v>
      </c>
      <c r="K27" s="26">
        <v>0</v>
      </c>
      <c r="L27" s="26">
        <v>50000</v>
      </c>
      <c r="M27" s="26">
        <v>0</v>
      </c>
      <c r="N27" s="27">
        <f t="shared" si="4"/>
        <v>315000</v>
      </c>
      <c r="P27" s="22">
        <f t="shared" si="5"/>
        <v>-315000</v>
      </c>
    </row>
    <row r="28" spans="1:16" ht="14.25" customHeight="1">
      <c r="A28" s="25" t="s">
        <v>40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f t="shared" si="4"/>
        <v>0</v>
      </c>
      <c r="P28" s="22">
        <f t="shared" si="5"/>
        <v>0</v>
      </c>
    </row>
    <row r="29" spans="1:16" ht="14.25" customHeight="1">
      <c r="A29" s="25" t="s">
        <v>41</v>
      </c>
      <c r="B29" s="26">
        <v>0</v>
      </c>
      <c r="C29" s="26">
        <v>0</v>
      </c>
      <c r="D29" s="26">
        <v>0</v>
      </c>
      <c r="E29" s="26">
        <v>3000</v>
      </c>
      <c r="F29" s="26">
        <f>25000+127854</f>
        <v>152854</v>
      </c>
      <c r="G29" s="26">
        <v>4000</v>
      </c>
      <c r="H29" s="26">
        <v>40000</v>
      </c>
      <c r="I29" s="26">
        <v>3500</v>
      </c>
      <c r="J29" s="26">
        <v>8000</v>
      </c>
      <c r="K29" s="26">
        <v>9964</v>
      </c>
      <c r="L29" s="26">
        <v>18000</v>
      </c>
      <c r="M29" s="26">
        <v>8000</v>
      </c>
      <c r="N29" s="27">
        <f t="shared" si="4"/>
        <v>247318</v>
      </c>
      <c r="P29" s="22">
        <f t="shared" si="5"/>
        <v>-247318</v>
      </c>
    </row>
    <row r="30" spans="1:16" ht="14.25" customHeight="1">
      <c r="A30" s="25" t="s">
        <v>42</v>
      </c>
      <c r="B30" s="26">
        <v>0</v>
      </c>
      <c r="C30" s="26">
        <v>0</v>
      </c>
      <c r="D30" s="26">
        <v>0</v>
      </c>
      <c r="E30" s="26">
        <v>0</v>
      </c>
      <c r="F30" s="26">
        <f>43790</f>
        <v>43790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f t="shared" si="4"/>
        <v>43790</v>
      </c>
      <c r="P30" s="22">
        <f t="shared" si="5"/>
        <v>-43790</v>
      </c>
    </row>
    <row r="31" spans="1:16" ht="14.25" customHeight="1">
      <c r="A31" s="28" t="s">
        <v>43</v>
      </c>
      <c r="B31" s="26">
        <v>21040</v>
      </c>
      <c r="C31" s="26">
        <v>21040</v>
      </c>
      <c r="D31" s="26">
        <v>21040</v>
      </c>
      <c r="E31" s="26">
        <v>21040</v>
      </c>
      <c r="F31" s="26">
        <f>21040+329</f>
        <v>21369</v>
      </c>
      <c r="G31" s="26">
        <v>21040</v>
      </c>
      <c r="H31" s="26">
        <v>21000</v>
      </c>
      <c r="I31" s="26">
        <v>21000</v>
      </c>
      <c r="J31" s="26">
        <v>21050</v>
      </c>
      <c r="K31" s="26">
        <v>21050</v>
      </c>
      <c r="L31" s="26">
        <v>21112</v>
      </c>
      <c r="M31" s="26">
        <v>21050</v>
      </c>
      <c r="N31" s="27">
        <f t="shared" si="4"/>
        <v>252831</v>
      </c>
      <c r="P31" s="22">
        <f t="shared" si="5"/>
        <v>-252831</v>
      </c>
    </row>
    <row r="32" spans="1:16" ht="14.25" customHeight="1">
      <c r="A32" s="28" t="s">
        <v>44</v>
      </c>
      <c r="B32" s="26">
        <v>3000</v>
      </c>
      <c r="C32" s="26">
        <v>5800</v>
      </c>
      <c r="D32" s="26">
        <v>25000</v>
      </c>
      <c r="E32" s="26">
        <v>25000</v>
      </c>
      <c r="F32" s="26">
        <f>35000+16796</f>
        <v>51796</v>
      </c>
      <c r="G32" s="26">
        <v>28000</v>
      </c>
      <c r="H32" s="26">
        <v>55000</v>
      </c>
      <c r="I32" s="26">
        <v>65000</v>
      </c>
      <c r="J32" s="26">
        <v>72217</v>
      </c>
      <c r="K32" s="26">
        <v>76160</v>
      </c>
      <c r="L32" s="26">
        <v>38000</v>
      </c>
      <c r="M32" s="26">
        <v>8000</v>
      </c>
      <c r="N32" s="27">
        <f t="shared" si="4"/>
        <v>452973</v>
      </c>
      <c r="P32" s="22">
        <f t="shared" si="5"/>
        <v>-452973</v>
      </c>
    </row>
    <row r="33" spans="1:16" ht="14.25" customHeight="1">
      <c r="A33" s="28" t="s">
        <v>45</v>
      </c>
      <c r="B33" s="26">
        <v>105000</v>
      </c>
      <c r="C33" s="26">
        <v>180000</v>
      </c>
      <c r="D33" s="26">
        <v>180000</v>
      </c>
      <c r="E33" s="26">
        <v>318000</v>
      </c>
      <c r="F33" s="26">
        <f>250000+1076057</f>
        <v>1326057</v>
      </c>
      <c r="G33" s="26">
        <v>420000</v>
      </c>
      <c r="H33" s="26">
        <f>440000+25000</f>
        <v>465000</v>
      </c>
      <c r="I33" s="26">
        <v>280000</v>
      </c>
      <c r="J33" s="26">
        <v>325422</v>
      </c>
      <c r="K33" s="26">
        <v>288000</v>
      </c>
      <c r="L33" s="26">
        <v>268720</v>
      </c>
      <c r="M33" s="26">
        <v>401000</v>
      </c>
      <c r="N33" s="27">
        <f t="shared" si="4"/>
        <v>4557199</v>
      </c>
      <c r="P33" s="22">
        <f t="shared" si="5"/>
        <v>-4557199</v>
      </c>
    </row>
    <row r="34" spans="1:16" ht="14.25" customHeight="1">
      <c r="A34" s="25" t="s">
        <v>46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f t="shared" si="4"/>
        <v>0</v>
      </c>
      <c r="P34" s="22">
        <f t="shared" si="5"/>
        <v>0</v>
      </c>
    </row>
    <row r="35" spans="1:16" ht="14.25" customHeight="1">
      <c r="A35" s="28" t="s">
        <v>47</v>
      </c>
      <c r="B35" s="26">
        <v>20000</v>
      </c>
      <c r="C35" s="26">
        <v>0</v>
      </c>
      <c r="D35" s="26">
        <v>0</v>
      </c>
      <c r="E35" s="26">
        <v>21000</v>
      </c>
      <c r="F35" s="26">
        <f>45000+7552084</f>
        <v>7597084</v>
      </c>
      <c r="G35" s="26">
        <v>42000</v>
      </c>
      <c r="H35" s="26">
        <f>150000-50000-25000</f>
        <v>75000</v>
      </c>
      <c r="I35" s="26">
        <v>140000</v>
      </c>
      <c r="J35" s="26">
        <v>120091</v>
      </c>
      <c r="K35" s="26">
        <v>95000</v>
      </c>
      <c r="L35" s="26">
        <v>67000</v>
      </c>
      <c r="M35" s="26">
        <v>51000</v>
      </c>
      <c r="N35" s="27">
        <f t="shared" si="4"/>
        <v>8228175</v>
      </c>
      <c r="P35" s="22">
        <f t="shared" si="5"/>
        <v>-8228175</v>
      </c>
    </row>
    <row r="36" spans="1:16" ht="14.25" customHeight="1">
      <c r="A36" s="25" t="s">
        <v>48</v>
      </c>
      <c r="B36" s="26">
        <v>0</v>
      </c>
      <c r="C36" s="26">
        <v>0</v>
      </c>
      <c r="D36" s="26">
        <f>2550+2440+2640</f>
        <v>7630</v>
      </c>
      <c r="E36" s="26">
        <v>0</v>
      </c>
      <c r="F36" s="26">
        <f>33979</f>
        <v>33979</v>
      </c>
      <c r="G36" s="26">
        <v>7450</v>
      </c>
      <c r="H36" s="26">
        <v>0</v>
      </c>
      <c r="I36" s="26">
        <v>0</v>
      </c>
      <c r="J36" s="26">
        <v>7800</v>
      </c>
      <c r="K36" s="26">
        <v>0</v>
      </c>
      <c r="L36" s="26">
        <v>0</v>
      </c>
      <c r="M36" s="26">
        <v>8800</v>
      </c>
      <c r="N36" s="27">
        <f t="shared" si="4"/>
        <v>65659</v>
      </c>
      <c r="P36" s="22">
        <f t="shared" si="5"/>
        <v>-65659</v>
      </c>
    </row>
    <row r="37" spans="1:16" ht="14.25" customHeight="1" thickBot="1">
      <c r="A37" s="25" t="s">
        <v>49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f t="shared" si="4"/>
        <v>0</v>
      </c>
      <c r="P37" s="22">
        <f t="shared" si="5"/>
        <v>0</v>
      </c>
    </row>
    <row r="38" spans="1:14" ht="15.75" customHeight="1" thickBot="1">
      <c r="A38" s="2" t="s">
        <v>50</v>
      </c>
      <c r="B38" s="12">
        <f aca="true" t="shared" si="6" ref="B38:N38">SUM(B23:B37)</f>
        <v>2211231</v>
      </c>
      <c r="C38" s="12">
        <f t="shared" si="6"/>
        <v>2038782</v>
      </c>
      <c r="D38" s="12">
        <f t="shared" si="6"/>
        <v>2030416</v>
      </c>
      <c r="E38" s="12">
        <f t="shared" si="6"/>
        <v>2003967</v>
      </c>
      <c r="F38" s="12">
        <f t="shared" si="6"/>
        <v>11020065</v>
      </c>
      <c r="G38" s="12">
        <f t="shared" si="6"/>
        <v>1898637</v>
      </c>
      <c r="H38" s="12">
        <f t="shared" si="6"/>
        <v>1898146</v>
      </c>
      <c r="I38" s="12">
        <f t="shared" si="6"/>
        <v>1893696</v>
      </c>
      <c r="J38" s="12">
        <f t="shared" si="6"/>
        <v>2154841</v>
      </c>
      <c r="K38" s="12">
        <f t="shared" si="6"/>
        <v>2150070</v>
      </c>
      <c r="L38" s="12">
        <f t="shared" si="6"/>
        <v>2323073</v>
      </c>
      <c r="M38" s="12">
        <f t="shared" si="6"/>
        <v>2317078</v>
      </c>
      <c r="N38" s="16">
        <f t="shared" si="6"/>
        <v>33940002</v>
      </c>
    </row>
    <row r="40" spans="2:14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2" spans="1:14" ht="12.75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4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CE,Normál"&amp;12&amp;X*&amp;XA 2/2009. (II. 13.) KT. sz. rendelet 9.sz. melléklete</oddHeader>
    <oddFooter>&amp;L*Módosította a 16/2009. (VII. 03.) KT. sz. rendelet 4. §-a. Hatályos 2009. július 3-tól.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6" sqref="J36"/>
    </sheetView>
  </sheetViews>
  <sheetFormatPr defaultColWidth="9.00390625" defaultRowHeight="12.75"/>
  <cols>
    <col min="1" max="1" width="28.00390625" style="0" customWidth="1"/>
    <col min="2" max="9" width="10.75390625" style="0" customWidth="1"/>
    <col min="10" max="10" width="10.75390625" style="17" customWidth="1"/>
    <col min="11" max="14" width="10.75390625" style="0" customWidth="1"/>
    <col min="15" max="15" width="12.625" style="3" customWidth="1"/>
    <col min="16" max="16" width="11.75390625" style="0" customWidth="1"/>
    <col min="17" max="17" width="12.00390625" style="0" customWidth="1"/>
    <col min="18" max="18" width="9.25390625" style="0" customWidth="1"/>
  </cols>
  <sheetData>
    <row r="1" spans="1:14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0"/>
      <c r="N2" s="21" t="s">
        <v>1</v>
      </c>
    </row>
    <row r="3" spans="1:14" ht="19.5" customHeight="1" thickBo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4" t="s">
        <v>15</v>
      </c>
    </row>
    <row r="4" spans="1:14" ht="18.75">
      <c r="A4" s="6" t="s">
        <v>16</v>
      </c>
      <c r="B4" s="7"/>
      <c r="C4" s="7"/>
      <c r="D4" s="7"/>
      <c r="E4" s="7"/>
      <c r="F4" s="7"/>
      <c r="G4" s="7"/>
      <c r="H4" s="7"/>
      <c r="I4" s="7"/>
      <c r="J4" s="14"/>
      <c r="K4" s="14"/>
      <c r="L4" s="14"/>
      <c r="M4" s="14"/>
      <c r="N4" s="15"/>
    </row>
    <row r="5" spans="1:16" ht="14.25" customHeight="1">
      <c r="A5" s="25" t="s">
        <v>17</v>
      </c>
      <c r="B5" s="26">
        <v>295300</v>
      </c>
      <c r="C5" s="26">
        <v>299400</v>
      </c>
      <c r="D5" s="26">
        <v>299400</v>
      </c>
      <c r="E5" s="26">
        <v>293300</v>
      </c>
      <c r="F5" s="26">
        <f>293300+5910</f>
        <v>299210</v>
      </c>
      <c r="G5" s="26">
        <v>291600</v>
      </c>
      <c r="H5" s="26">
        <v>249000</v>
      </c>
      <c r="I5" s="26">
        <v>279180</v>
      </c>
      <c r="J5" s="26">
        <f>303380+394275</f>
        <v>697655</v>
      </c>
      <c r="K5" s="26">
        <v>290600</v>
      </c>
      <c r="L5" s="26">
        <v>297700</v>
      </c>
      <c r="M5" s="26">
        <v>296250</v>
      </c>
      <c r="N5" s="27">
        <f aca="true" t="shared" si="0" ref="N5:N20">SUM(B5:M5)</f>
        <v>3888595</v>
      </c>
      <c r="O5" s="4"/>
      <c r="P5" s="22">
        <f aca="true" t="shared" si="1" ref="P5:P20">+O5-N5</f>
        <v>-3888595</v>
      </c>
    </row>
    <row r="6" spans="1:16" ht="14.25" customHeight="1">
      <c r="A6" s="28" t="s">
        <v>18</v>
      </c>
      <c r="B6" s="26">
        <v>200238</v>
      </c>
      <c r="C6" s="26">
        <v>200239</v>
      </c>
      <c r="D6" s="26">
        <v>200238</v>
      </c>
      <c r="E6" s="26">
        <v>200239</v>
      </c>
      <c r="F6" s="26">
        <v>200238</v>
      </c>
      <c r="G6" s="26">
        <v>200239</v>
      </c>
      <c r="H6" s="26">
        <v>200238</v>
      </c>
      <c r="I6" s="26">
        <v>200238</v>
      </c>
      <c r="J6" s="26">
        <f>200239+2262</f>
        <v>202501</v>
      </c>
      <c r="K6" s="26">
        <v>200238</v>
      </c>
      <c r="L6" s="26">
        <v>200239</v>
      </c>
      <c r="M6" s="26">
        <v>200238</v>
      </c>
      <c r="N6" s="27">
        <f t="shared" si="0"/>
        <v>2405123</v>
      </c>
      <c r="P6" s="22">
        <f t="shared" si="1"/>
        <v>-2405123</v>
      </c>
    </row>
    <row r="7" spans="1:16" ht="14.25" customHeight="1">
      <c r="A7" s="28" t="s">
        <v>19</v>
      </c>
      <c r="B7" s="26">
        <v>10000</v>
      </c>
      <c r="C7" s="26">
        <v>10000</v>
      </c>
      <c r="D7" s="26">
        <v>30000</v>
      </c>
      <c r="E7" s="26">
        <v>50000</v>
      </c>
      <c r="F7" s="26">
        <f>50000+2743</f>
        <v>52743</v>
      </c>
      <c r="G7" s="26">
        <v>60000</v>
      </c>
      <c r="H7" s="26">
        <v>58750</v>
      </c>
      <c r="I7" s="26">
        <v>60000</v>
      </c>
      <c r="J7" s="26">
        <f>50000+41751</f>
        <v>91751</v>
      </c>
      <c r="K7" s="26">
        <v>45000</v>
      </c>
      <c r="L7" s="26">
        <v>45000</v>
      </c>
      <c r="M7" s="26">
        <v>43000</v>
      </c>
      <c r="N7" s="27">
        <f t="shared" si="0"/>
        <v>556244</v>
      </c>
      <c r="O7" s="4"/>
      <c r="P7" s="22">
        <f t="shared" si="1"/>
        <v>-556244</v>
      </c>
    </row>
    <row r="8" spans="1:16" ht="14.25" customHeight="1">
      <c r="A8" s="28" t="s">
        <v>20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si="0"/>
        <v>0</v>
      </c>
      <c r="O8" s="5"/>
      <c r="P8" s="22">
        <f t="shared" si="1"/>
        <v>0</v>
      </c>
    </row>
    <row r="9" spans="1:16" ht="14.25" customHeight="1">
      <c r="A9" s="28" t="s">
        <v>21</v>
      </c>
      <c r="B9" s="26">
        <f>483806+50000</f>
        <v>533806</v>
      </c>
      <c r="C9" s="26">
        <v>483807</v>
      </c>
      <c r="D9" s="26">
        <v>483806</v>
      </c>
      <c r="E9" s="26">
        <v>483807</v>
      </c>
      <c r="F9" s="26">
        <f>483806+230228</f>
        <v>714034</v>
      </c>
      <c r="G9" s="26">
        <v>483807</v>
      </c>
      <c r="H9" s="26">
        <v>483806</v>
      </c>
      <c r="I9" s="26">
        <v>483807</v>
      </c>
      <c r="J9" s="26">
        <f>483806+570167</f>
        <v>1053973</v>
      </c>
      <c r="K9" s="26">
        <v>483807</v>
      </c>
      <c r="L9" s="26">
        <v>483807</v>
      </c>
      <c r="M9" s="26">
        <v>483807</v>
      </c>
      <c r="N9" s="27">
        <f t="shared" si="0"/>
        <v>6656074</v>
      </c>
      <c r="P9" s="22">
        <f t="shared" si="1"/>
        <v>-6656074</v>
      </c>
    </row>
    <row r="10" spans="1:16" ht="14.25" customHeight="1">
      <c r="A10" s="28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f>111386</f>
        <v>111386</v>
      </c>
      <c r="G10" s="26">
        <v>0</v>
      </c>
      <c r="H10" s="26">
        <v>0</v>
      </c>
      <c r="I10" s="26">
        <v>0</v>
      </c>
      <c r="J10" s="26">
        <v>96852</v>
      </c>
      <c r="K10" s="26">
        <v>0</v>
      </c>
      <c r="L10" s="26">
        <v>0</v>
      </c>
      <c r="M10" s="26">
        <v>0</v>
      </c>
      <c r="N10" s="27">
        <f t="shared" si="0"/>
        <v>208238</v>
      </c>
      <c r="P10" s="22">
        <f t="shared" si="1"/>
        <v>-208238</v>
      </c>
    </row>
    <row r="11" spans="1:16" ht="14.25" customHeight="1">
      <c r="A11" s="28" t="s">
        <v>23</v>
      </c>
      <c r="B11" s="26">
        <v>378000</v>
      </c>
      <c r="C11" s="26">
        <v>376000</v>
      </c>
      <c r="D11" s="26">
        <v>376000</v>
      </c>
      <c r="E11" s="26">
        <v>379812</v>
      </c>
      <c r="F11" s="26">
        <f>376000+185462</f>
        <v>561462</v>
      </c>
      <c r="G11" s="26">
        <v>376000</v>
      </c>
      <c r="H11" s="26">
        <v>376000</v>
      </c>
      <c r="I11" s="26">
        <v>376000</v>
      </c>
      <c r="J11" s="26">
        <f>376000+546322</f>
        <v>922322</v>
      </c>
      <c r="K11" s="26">
        <v>376000</v>
      </c>
      <c r="L11" s="26">
        <v>376000</v>
      </c>
      <c r="M11" s="26">
        <v>376000</v>
      </c>
      <c r="N11" s="27">
        <f t="shared" si="0"/>
        <v>5249596</v>
      </c>
      <c r="P11" s="22">
        <f t="shared" si="1"/>
        <v>-5249596</v>
      </c>
    </row>
    <row r="12" spans="1:16" ht="14.25" customHeight="1">
      <c r="A12" s="25" t="s">
        <v>24</v>
      </c>
      <c r="B12" s="26">
        <v>779121</v>
      </c>
      <c r="C12" s="26">
        <v>779121</v>
      </c>
      <c r="D12" s="26">
        <v>779121</v>
      </c>
      <c r="E12" s="26">
        <v>779121</v>
      </c>
      <c r="F12" s="26">
        <f>779121+23585</f>
        <v>802706</v>
      </c>
      <c r="G12" s="26">
        <v>779121</v>
      </c>
      <c r="H12" s="26">
        <v>779121</v>
      </c>
      <c r="I12" s="26">
        <v>779121</v>
      </c>
      <c r="J12" s="26">
        <f>779121+118187</f>
        <v>897308</v>
      </c>
      <c r="K12" s="26">
        <v>779121</v>
      </c>
      <c r="L12" s="26">
        <v>779121</v>
      </c>
      <c r="M12" s="26">
        <v>779122</v>
      </c>
      <c r="N12" s="27">
        <f t="shared" si="0"/>
        <v>9491225</v>
      </c>
      <c r="P12" s="22">
        <f t="shared" si="1"/>
        <v>-9491225</v>
      </c>
    </row>
    <row r="13" spans="1:16" ht="14.25" customHeight="1">
      <c r="A13" s="25" t="s">
        <v>25</v>
      </c>
      <c r="B13" s="26">
        <v>5400</v>
      </c>
      <c r="C13" s="26">
        <v>3600</v>
      </c>
      <c r="D13" s="26">
        <v>4000</v>
      </c>
      <c r="E13" s="26">
        <v>150000</v>
      </c>
      <c r="F13" s="26">
        <f>18000</f>
        <v>18000</v>
      </c>
      <c r="G13" s="26">
        <v>22000</v>
      </c>
      <c r="H13" s="26">
        <v>28000</v>
      </c>
      <c r="I13" s="26">
        <v>18000</v>
      </c>
      <c r="J13" s="26">
        <f>150000+26154</f>
        <v>176154</v>
      </c>
      <c r="K13" s="26">
        <v>10000</v>
      </c>
      <c r="L13" s="26">
        <v>18000</v>
      </c>
      <c r="M13" s="26">
        <v>28000</v>
      </c>
      <c r="N13" s="27">
        <f t="shared" si="0"/>
        <v>481154</v>
      </c>
      <c r="P13" s="22">
        <f t="shared" si="1"/>
        <v>-481154</v>
      </c>
    </row>
    <row r="14" spans="1:16" ht="14.25" customHeight="1">
      <c r="A14" s="25" t="s">
        <v>26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f t="shared" si="0"/>
        <v>0</v>
      </c>
      <c r="P14" s="22">
        <f t="shared" si="1"/>
        <v>0</v>
      </c>
    </row>
    <row r="15" spans="1:16" ht="14.25" customHeight="1">
      <c r="A15" s="28" t="s">
        <v>27</v>
      </c>
      <c r="B15" s="26">
        <v>2450</v>
      </c>
      <c r="C15" s="26">
        <v>2450</v>
      </c>
      <c r="D15" s="26">
        <v>2450</v>
      </c>
      <c r="E15" s="26">
        <v>2450</v>
      </c>
      <c r="F15" s="26">
        <v>2500</v>
      </c>
      <c r="G15" s="26">
        <v>2500</v>
      </c>
      <c r="H15" s="26">
        <v>2500</v>
      </c>
      <c r="I15" s="26">
        <v>2500</v>
      </c>
      <c r="J15" s="26">
        <v>2550</v>
      </c>
      <c r="K15" s="26">
        <v>2550</v>
      </c>
      <c r="L15" s="26">
        <v>2550</v>
      </c>
      <c r="M15" s="26">
        <v>2550</v>
      </c>
      <c r="N15" s="27">
        <f t="shared" si="0"/>
        <v>30000</v>
      </c>
      <c r="P15" s="22">
        <f t="shared" si="1"/>
        <v>-30000</v>
      </c>
    </row>
    <row r="16" spans="1:16" ht="14.25" customHeight="1">
      <c r="A16" s="28" t="s">
        <v>28</v>
      </c>
      <c r="B16" s="26">
        <v>88000</v>
      </c>
      <c r="C16" s="26">
        <v>79000</v>
      </c>
      <c r="D16" s="26">
        <v>70000</v>
      </c>
      <c r="E16" s="26">
        <v>59000</v>
      </c>
      <c r="F16" s="26">
        <f>59000+291892</f>
        <v>350892</v>
      </c>
      <c r="G16" s="26">
        <v>45000</v>
      </c>
      <c r="H16" s="26">
        <v>45000</v>
      </c>
      <c r="I16" s="26">
        <v>45000</v>
      </c>
      <c r="J16" s="26">
        <f>45285+82983</f>
        <v>128268</v>
      </c>
      <c r="K16" s="26">
        <v>56000</v>
      </c>
      <c r="L16" s="26">
        <v>60000</v>
      </c>
      <c r="M16" s="26">
        <v>64000</v>
      </c>
      <c r="N16" s="27">
        <f t="shared" si="0"/>
        <v>1090160</v>
      </c>
      <c r="P16" s="22">
        <f t="shared" si="1"/>
        <v>-1090160</v>
      </c>
    </row>
    <row r="17" spans="1:16" ht="14.25" customHeight="1">
      <c r="A17" s="28" t="s">
        <v>29</v>
      </c>
      <c r="B17" s="26">
        <v>128000</v>
      </c>
      <c r="C17" s="26">
        <v>185800</v>
      </c>
      <c r="D17" s="26">
        <v>255000</v>
      </c>
      <c r="E17" s="26">
        <v>346000</v>
      </c>
      <c r="F17" s="26">
        <f>300000+8703487</f>
        <v>9003487</v>
      </c>
      <c r="G17" s="26">
        <v>359000</v>
      </c>
      <c r="H17" s="26">
        <v>388000</v>
      </c>
      <c r="I17" s="26">
        <v>301000</v>
      </c>
      <c r="J17" s="26">
        <f>318000+63449</f>
        <v>381449</v>
      </c>
      <c r="K17" s="26">
        <v>268000</v>
      </c>
      <c r="L17" s="26">
        <v>250000</v>
      </c>
      <c r="M17" s="26">
        <v>157552</v>
      </c>
      <c r="N17" s="27">
        <f t="shared" si="0"/>
        <v>12023288</v>
      </c>
      <c r="P17" s="22">
        <f t="shared" si="1"/>
        <v>-12023288</v>
      </c>
    </row>
    <row r="18" spans="1:16" ht="14.25" customHeight="1">
      <c r="A18" s="28" t="s">
        <v>30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f t="shared" si="0"/>
        <v>0</v>
      </c>
      <c r="P18" s="22">
        <f t="shared" si="1"/>
        <v>0</v>
      </c>
    </row>
    <row r="19" spans="1:16" ht="14.25" customHeight="1">
      <c r="A19" s="28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f t="shared" si="0"/>
        <v>0</v>
      </c>
      <c r="P19" s="22">
        <f t="shared" si="1"/>
        <v>0</v>
      </c>
    </row>
    <row r="20" spans="1:16" ht="14.25" customHeight="1" thickBot="1">
      <c r="A20" s="35" t="s">
        <v>32</v>
      </c>
      <c r="B20" s="26">
        <f>-B9</f>
        <v>-533806</v>
      </c>
      <c r="C20" s="26">
        <f>-C9</f>
        <v>-483807</v>
      </c>
      <c r="D20" s="26">
        <f>-D9</f>
        <v>-483806</v>
      </c>
      <c r="E20" s="26">
        <f>-E9</f>
        <v>-483807</v>
      </c>
      <c r="F20" s="26">
        <f>-F9-F10</f>
        <v>-825420</v>
      </c>
      <c r="G20" s="26">
        <f aca="true" t="shared" si="2" ref="G20:M20">-G9</f>
        <v>-483807</v>
      </c>
      <c r="H20" s="26">
        <f t="shared" si="2"/>
        <v>-483806</v>
      </c>
      <c r="I20" s="26">
        <f t="shared" si="2"/>
        <v>-483807</v>
      </c>
      <c r="J20" s="26">
        <f>-J9-J10</f>
        <v>-1150825</v>
      </c>
      <c r="K20" s="26">
        <f t="shared" si="2"/>
        <v>-483807</v>
      </c>
      <c r="L20" s="26">
        <f t="shared" si="2"/>
        <v>-483807</v>
      </c>
      <c r="M20" s="26">
        <f t="shared" si="2"/>
        <v>-483807</v>
      </c>
      <c r="N20" s="27">
        <f t="shared" si="0"/>
        <v>-6864312</v>
      </c>
      <c r="P20" s="22">
        <f t="shared" si="1"/>
        <v>6864312</v>
      </c>
    </row>
    <row r="21" spans="1:14" ht="15.75" customHeight="1" thickBot="1">
      <c r="A21" s="2" t="s">
        <v>33</v>
      </c>
      <c r="B21" s="11">
        <f aca="true" t="shared" si="3" ref="B21:N21">SUM(B5:B20)</f>
        <v>1886509</v>
      </c>
      <c r="C21" s="11">
        <f t="shared" si="3"/>
        <v>1935610</v>
      </c>
      <c r="D21" s="11">
        <f t="shared" si="3"/>
        <v>2016209</v>
      </c>
      <c r="E21" s="11">
        <f t="shared" si="3"/>
        <v>2259922</v>
      </c>
      <c r="F21" s="11">
        <f t="shared" si="3"/>
        <v>11291238</v>
      </c>
      <c r="G21" s="11">
        <f t="shared" si="3"/>
        <v>2135460</v>
      </c>
      <c r="H21" s="11">
        <f t="shared" si="3"/>
        <v>2126609</v>
      </c>
      <c r="I21" s="11">
        <f t="shared" si="3"/>
        <v>2061039</v>
      </c>
      <c r="J21" s="11">
        <f t="shared" si="3"/>
        <v>3499958</v>
      </c>
      <c r="K21" s="11">
        <f t="shared" si="3"/>
        <v>2027509</v>
      </c>
      <c r="L21" s="11">
        <f t="shared" si="3"/>
        <v>2028610</v>
      </c>
      <c r="M21" s="11">
        <f t="shared" si="3"/>
        <v>1946712</v>
      </c>
      <c r="N21" s="16">
        <f t="shared" si="3"/>
        <v>35215385</v>
      </c>
    </row>
    <row r="22" spans="1:14" ht="18.75">
      <c r="A22" s="8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6" ht="14.25" customHeight="1">
      <c r="A23" s="25" t="s">
        <v>35</v>
      </c>
      <c r="B23" s="26">
        <v>835000</v>
      </c>
      <c r="C23" s="26">
        <v>698000</v>
      </c>
      <c r="D23" s="26">
        <v>698000</v>
      </c>
      <c r="E23" s="26">
        <v>750000</v>
      </c>
      <c r="F23" s="26">
        <f>698000+95428</f>
        <v>793428</v>
      </c>
      <c r="G23" s="26">
        <v>750000</v>
      </c>
      <c r="H23" s="26">
        <v>700000</v>
      </c>
      <c r="I23" s="26">
        <v>700000</v>
      </c>
      <c r="J23" s="26">
        <f>750000+441335</f>
        <v>1191335</v>
      </c>
      <c r="K23" s="26">
        <v>700000</v>
      </c>
      <c r="L23" s="26">
        <v>800000</v>
      </c>
      <c r="M23" s="26">
        <v>735608</v>
      </c>
      <c r="N23" s="27">
        <f aca="true" t="shared" si="4" ref="N23:N37">SUM(B23:M23)</f>
        <v>9351371</v>
      </c>
      <c r="P23" s="22">
        <f aca="true" t="shared" si="5" ref="P23:P37">+O23-N23</f>
        <v>-9351371</v>
      </c>
    </row>
    <row r="24" spans="1:16" ht="14.25" customHeight="1">
      <c r="A24" s="28" t="s">
        <v>36</v>
      </c>
      <c r="B24" s="26">
        <v>251996</v>
      </c>
      <c r="C24" s="26">
        <v>208747</v>
      </c>
      <c r="D24" s="26">
        <v>208746</v>
      </c>
      <c r="E24" s="26">
        <v>224747</v>
      </c>
      <c r="F24" s="26">
        <f>208746+27488</f>
        <v>236234</v>
      </c>
      <c r="G24" s="26">
        <v>224947</v>
      </c>
      <c r="H24" s="26">
        <v>209996</v>
      </c>
      <c r="I24" s="26">
        <v>209996</v>
      </c>
      <c r="J24" s="26">
        <f>224247+153231</f>
        <v>377478</v>
      </c>
      <c r="K24" s="26">
        <v>209296</v>
      </c>
      <c r="L24" s="26">
        <v>239135</v>
      </c>
      <c r="M24" s="26">
        <v>219940</v>
      </c>
      <c r="N24" s="27">
        <f t="shared" si="4"/>
        <v>2821258</v>
      </c>
      <c r="P24" s="22">
        <f t="shared" si="5"/>
        <v>-2821258</v>
      </c>
    </row>
    <row r="25" spans="1:16" ht="14.25" customHeight="1">
      <c r="A25" s="28" t="s">
        <v>37</v>
      </c>
      <c r="B25" s="26">
        <f>925195+50000</f>
        <v>975195</v>
      </c>
      <c r="C25" s="26">
        <v>925195</v>
      </c>
      <c r="D25" s="26">
        <v>840000</v>
      </c>
      <c r="E25" s="26">
        <v>640180</v>
      </c>
      <c r="F25" s="26">
        <f>474200+239274</f>
        <v>713474</v>
      </c>
      <c r="G25" s="26">
        <v>394200</v>
      </c>
      <c r="H25" s="26">
        <v>324150</v>
      </c>
      <c r="I25" s="26">
        <v>374200</v>
      </c>
      <c r="J25" s="26">
        <f>575014+445134</f>
        <v>1020148</v>
      </c>
      <c r="K25" s="26">
        <v>750600</v>
      </c>
      <c r="L25" s="26">
        <v>820145</v>
      </c>
      <c r="M25" s="26">
        <v>863680</v>
      </c>
      <c r="N25" s="27">
        <f t="shared" si="4"/>
        <v>8641167</v>
      </c>
      <c r="P25" s="22">
        <f t="shared" si="5"/>
        <v>-8641167</v>
      </c>
    </row>
    <row r="26" spans="1:16" ht="14.25" customHeight="1">
      <c r="A26" s="25" t="s">
        <v>38</v>
      </c>
      <c r="B26" s="26">
        <v>0</v>
      </c>
      <c r="C26" s="26">
        <v>0</v>
      </c>
      <c r="D26" s="26">
        <v>0</v>
      </c>
      <c r="E26" s="26">
        <v>1000</v>
      </c>
      <c r="F26" s="26">
        <v>0</v>
      </c>
      <c r="G26" s="26">
        <v>0</v>
      </c>
      <c r="H26" s="26">
        <v>0</v>
      </c>
      <c r="I26" s="26">
        <v>0</v>
      </c>
      <c r="J26" s="26">
        <f>1000+7790</f>
        <v>8790</v>
      </c>
      <c r="K26" s="26">
        <v>0</v>
      </c>
      <c r="L26" s="26">
        <v>961</v>
      </c>
      <c r="M26" s="26">
        <v>0</v>
      </c>
      <c r="N26" s="27">
        <f t="shared" si="4"/>
        <v>10751</v>
      </c>
      <c r="P26" s="22">
        <f t="shared" si="5"/>
        <v>-10751</v>
      </c>
    </row>
    <row r="27" spans="1:16" ht="14.25" customHeight="1">
      <c r="A27" s="25" t="s">
        <v>39</v>
      </c>
      <c r="B27" s="26">
        <v>0</v>
      </c>
      <c r="C27" s="26">
        <v>0</v>
      </c>
      <c r="D27" s="26">
        <v>50000</v>
      </c>
      <c r="E27" s="26">
        <v>0</v>
      </c>
      <c r="F27" s="26">
        <v>50000</v>
      </c>
      <c r="G27" s="26">
        <v>7000</v>
      </c>
      <c r="H27" s="26">
        <v>8000</v>
      </c>
      <c r="I27" s="26">
        <v>100000</v>
      </c>
      <c r="J27" s="26">
        <f>50000+10000</f>
        <v>60000</v>
      </c>
      <c r="K27" s="26">
        <v>0</v>
      </c>
      <c r="L27" s="26">
        <v>50000</v>
      </c>
      <c r="M27" s="26">
        <v>0</v>
      </c>
      <c r="N27" s="27">
        <f t="shared" si="4"/>
        <v>325000</v>
      </c>
      <c r="P27" s="22">
        <f t="shared" si="5"/>
        <v>-325000</v>
      </c>
    </row>
    <row r="28" spans="1:16" ht="14.25" customHeight="1">
      <c r="A28" s="25" t="s">
        <v>40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f t="shared" si="4"/>
        <v>0</v>
      </c>
      <c r="P28" s="22">
        <f t="shared" si="5"/>
        <v>0</v>
      </c>
    </row>
    <row r="29" spans="1:16" ht="14.25" customHeight="1">
      <c r="A29" s="25" t="s">
        <v>41</v>
      </c>
      <c r="B29" s="26">
        <v>0</v>
      </c>
      <c r="C29" s="26">
        <v>0</v>
      </c>
      <c r="D29" s="26">
        <v>0</v>
      </c>
      <c r="E29" s="26">
        <v>3000</v>
      </c>
      <c r="F29" s="26">
        <f>25000+127854</f>
        <v>152854</v>
      </c>
      <c r="G29" s="26">
        <v>4000</v>
      </c>
      <c r="H29" s="26">
        <v>40000</v>
      </c>
      <c r="I29" s="26">
        <v>3500</v>
      </c>
      <c r="J29" s="26">
        <f>8000+30249</f>
        <v>38249</v>
      </c>
      <c r="K29" s="26">
        <v>9964</v>
      </c>
      <c r="L29" s="26">
        <v>18000</v>
      </c>
      <c r="M29" s="26">
        <v>8000</v>
      </c>
      <c r="N29" s="27">
        <f t="shared" si="4"/>
        <v>277567</v>
      </c>
      <c r="P29" s="22">
        <f t="shared" si="5"/>
        <v>-277567</v>
      </c>
    </row>
    <row r="30" spans="1:16" ht="14.25" customHeight="1">
      <c r="A30" s="25" t="s">
        <v>42</v>
      </c>
      <c r="B30" s="26">
        <v>0</v>
      </c>
      <c r="C30" s="26">
        <v>0</v>
      </c>
      <c r="D30" s="26">
        <v>0</v>
      </c>
      <c r="E30" s="26">
        <v>0</v>
      </c>
      <c r="F30" s="26">
        <f>43790</f>
        <v>43790</v>
      </c>
      <c r="G30" s="26">
        <v>0</v>
      </c>
      <c r="H30" s="26">
        <v>0</v>
      </c>
      <c r="I30" s="26">
        <v>0</v>
      </c>
      <c r="J30" s="26">
        <f>23000</f>
        <v>23000</v>
      </c>
      <c r="K30" s="26">
        <v>0</v>
      </c>
      <c r="L30" s="26">
        <v>0</v>
      </c>
      <c r="M30" s="26">
        <v>0</v>
      </c>
      <c r="N30" s="27">
        <f t="shared" si="4"/>
        <v>66790</v>
      </c>
      <c r="P30" s="22">
        <f t="shared" si="5"/>
        <v>-66790</v>
      </c>
    </row>
    <row r="31" spans="1:16" ht="14.25" customHeight="1">
      <c r="A31" s="28" t="s">
        <v>43</v>
      </c>
      <c r="B31" s="26">
        <v>21040</v>
      </c>
      <c r="C31" s="26">
        <v>21040</v>
      </c>
      <c r="D31" s="26">
        <v>21040</v>
      </c>
      <c r="E31" s="26">
        <v>21040</v>
      </c>
      <c r="F31" s="26">
        <f>21040+329</f>
        <v>21369</v>
      </c>
      <c r="G31" s="26">
        <v>21040</v>
      </c>
      <c r="H31" s="26">
        <v>21000</v>
      </c>
      <c r="I31" s="26">
        <v>21000</v>
      </c>
      <c r="J31" s="26">
        <f>21050+10190</f>
        <v>31240</v>
      </c>
      <c r="K31" s="26">
        <v>21050</v>
      </c>
      <c r="L31" s="26">
        <v>21112</v>
      </c>
      <c r="M31" s="26">
        <v>21050</v>
      </c>
      <c r="N31" s="27">
        <f t="shared" si="4"/>
        <v>263021</v>
      </c>
      <c r="P31" s="22">
        <f t="shared" si="5"/>
        <v>-263021</v>
      </c>
    </row>
    <row r="32" spans="1:16" ht="14.25" customHeight="1">
      <c r="A32" s="28" t="s">
        <v>44</v>
      </c>
      <c r="B32" s="26">
        <v>3000</v>
      </c>
      <c r="C32" s="26">
        <v>5800</v>
      </c>
      <c r="D32" s="26">
        <v>25000</v>
      </c>
      <c r="E32" s="26">
        <v>25000</v>
      </c>
      <c r="F32" s="26">
        <f>35000+16796</f>
        <v>51796</v>
      </c>
      <c r="G32" s="26">
        <v>28000</v>
      </c>
      <c r="H32" s="26">
        <v>55000</v>
      </c>
      <c r="I32" s="26">
        <v>65000</v>
      </c>
      <c r="J32" s="26">
        <f>72217+64839</f>
        <v>137056</v>
      </c>
      <c r="K32" s="26">
        <v>76160</v>
      </c>
      <c r="L32" s="26">
        <v>38000</v>
      </c>
      <c r="M32" s="26">
        <v>8000</v>
      </c>
      <c r="N32" s="27">
        <f t="shared" si="4"/>
        <v>517812</v>
      </c>
      <c r="P32" s="22">
        <f t="shared" si="5"/>
        <v>-517812</v>
      </c>
    </row>
    <row r="33" spans="1:16" ht="14.25" customHeight="1">
      <c r="A33" s="28" t="s">
        <v>45</v>
      </c>
      <c r="B33" s="26">
        <v>105000</v>
      </c>
      <c r="C33" s="26">
        <v>180000</v>
      </c>
      <c r="D33" s="26">
        <v>180000</v>
      </c>
      <c r="E33" s="26">
        <v>318000</v>
      </c>
      <c r="F33" s="26">
        <f>250000+1076057</f>
        <v>1326057</v>
      </c>
      <c r="G33" s="26">
        <v>420000</v>
      </c>
      <c r="H33" s="26">
        <f>440000+25000</f>
        <v>465000</v>
      </c>
      <c r="I33" s="26">
        <v>280000</v>
      </c>
      <c r="J33" s="26">
        <f>325422+685918</f>
        <v>1011340</v>
      </c>
      <c r="K33" s="26">
        <v>288000</v>
      </c>
      <c r="L33" s="26">
        <v>268720</v>
      </c>
      <c r="M33" s="26">
        <v>401000</v>
      </c>
      <c r="N33" s="27">
        <f t="shared" si="4"/>
        <v>5243117</v>
      </c>
      <c r="P33" s="22">
        <f t="shared" si="5"/>
        <v>-5243117</v>
      </c>
    </row>
    <row r="34" spans="1:16" ht="14.25" customHeight="1">
      <c r="A34" s="25" t="s">
        <v>46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f t="shared" si="4"/>
        <v>0</v>
      </c>
      <c r="P34" s="22">
        <f t="shared" si="5"/>
        <v>0</v>
      </c>
    </row>
    <row r="35" spans="1:16" ht="14.25" customHeight="1">
      <c r="A35" s="28" t="s">
        <v>47</v>
      </c>
      <c r="B35" s="26">
        <v>20000</v>
      </c>
      <c r="C35" s="26">
        <v>0</v>
      </c>
      <c r="D35" s="26">
        <v>0</v>
      </c>
      <c r="E35" s="26">
        <v>21000</v>
      </c>
      <c r="F35" s="26">
        <f>45000+7552084</f>
        <v>7597084</v>
      </c>
      <c r="G35" s="26">
        <v>42000</v>
      </c>
      <c r="H35" s="26">
        <f>150000-50000-25000</f>
        <v>75000</v>
      </c>
      <c r="I35" s="26">
        <v>140000</v>
      </c>
      <c r="J35" s="26">
        <f>120091-596303</f>
        <v>-476212</v>
      </c>
      <c r="K35" s="26">
        <v>95000</v>
      </c>
      <c r="L35" s="26">
        <v>67000</v>
      </c>
      <c r="M35" s="26">
        <v>51000</v>
      </c>
      <c r="N35" s="27">
        <f t="shared" si="4"/>
        <v>7631872</v>
      </c>
      <c r="P35" s="22">
        <f t="shared" si="5"/>
        <v>-7631872</v>
      </c>
    </row>
    <row r="36" spans="1:16" ht="14.25" customHeight="1">
      <c r="A36" s="25" t="s">
        <v>48</v>
      </c>
      <c r="B36" s="26">
        <v>0</v>
      </c>
      <c r="C36" s="26">
        <v>0</v>
      </c>
      <c r="D36" s="26">
        <f>2550+2440+2640</f>
        <v>7630</v>
      </c>
      <c r="E36" s="26">
        <v>0</v>
      </c>
      <c r="F36" s="26">
        <f>33979</f>
        <v>33979</v>
      </c>
      <c r="G36" s="26">
        <v>7450</v>
      </c>
      <c r="H36" s="26">
        <v>0</v>
      </c>
      <c r="I36" s="26">
        <v>0</v>
      </c>
      <c r="J36" s="26">
        <v>7800</v>
      </c>
      <c r="K36" s="26">
        <v>0</v>
      </c>
      <c r="L36" s="26">
        <v>0</v>
      </c>
      <c r="M36" s="26">
        <v>8800</v>
      </c>
      <c r="N36" s="27">
        <f t="shared" si="4"/>
        <v>65659</v>
      </c>
      <c r="P36" s="22">
        <f t="shared" si="5"/>
        <v>-65659</v>
      </c>
    </row>
    <row r="37" spans="1:16" ht="14.25" customHeight="1" thickBot="1">
      <c r="A37" s="25" t="s">
        <v>49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f t="shared" si="4"/>
        <v>0</v>
      </c>
      <c r="P37" s="22">
        <f t="shared" si="5"/>
        <v>0</v>
      </c>
    </row>
    <row r="38" spans="1:14" ht="15.75" customHeight="1" thickBot="1">
      <c r="A38" s="2" t="s">
        <v>50</v>
      </c>
      <c r="B38" s="12">
        <f aca="true" t="shared" si="6" ref="B38:N38">SUM(B23:B37)</f>
        <v>2211231</v>
      </c>
      <c r="C38" s="12">
        <f t="shared" si="6"/>
        <v>2038782</v>
      </c>
      <c r="D38" s="12">
        <f t="shared" si="6"/>
        <v>2030416</v>
      </c>
      <c r="E38" s="12">
        <f t="shared" si="6"/>
        <v>2003967</v>
      </c>
      <c r="F38" s="12">
        <f t="shared" si="6"/>
        <v>11020065</v>
      </c>
      <c r="G38" s="12">
        <f t="shared" si="6"/>
        <v>1898637</v>
      </c>
      <c r="H38" s="12">
        <f t="shared" si="6"/>
        <v>1898146</v>
      </c>
      <c r="I38" s="12">
        <f t="shared" si="6"/>
        <v>1893696</v>
      </c>
      <c r="J38" s="12">
        <f t="shared" si="6"/>
        <v>3430224</v>
      </c>
      <c r="K38" s="12">
        <f t="shared" si="6"/>
        <v>2150070</v>
      </c>
      <c r="L38" s="12">
        <f t="shared" si="6"/>
        <v>2323073</v>
      </c>
      <c r="M38" s="12">
        <f t="shared" si="6"/>
        <v>2317078</v>
      </c>
      <c r="N38" s="16">
        <f t="shared" si="6"/>
        <v>35215385</v>
      </c>
    </row>
    <row r="40" spans="2:14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2" spans="1:14" ht="12.75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4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rendelettervezet 9.sz.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8.00390625" style="0" customWidth="1"/>
    <col min="2" max="9" width="10.75390625" style="0" customWidth="1"/>
    <col min="10" max="11" width="10.75390625" style="17" customWidth="1"/>
    <col min="12" max="14" width="10.75390625" style="0" customWidth="1"/>
    <col min="15" max="15" width="12.625" style="3" customWidth="1"/>
    <col min="16" max="16" width="11.75390625" style="0" customWidth="1"/>
    <col min="17" max="17" width="12.00390625" style="0" customWidth="1"/>
    <col min="18" max="18" width="9.25390625" style="0" customWidth="1"/>
  </cols>
  <sheetData>
    <row r="1" spans="1:14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36"/>
      <c r="L1" s="19"/>
      <c r="M1" s="19"/>
      <c r="N1" s="19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0"/>
      <c r="N2" s="21" t="s">
        <v>1</v>
      </c>
    </row>
    <row r="3" spans="1:14" ht="19.5" customHeight="1" thickBo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4" t="s">
        <v>15</v>
      </c>
    </row>
    <row r="4" spans="1:14" ht="18.75">
      <c r="A4" s="6" t="s">
        <v>16</v>
      </c>
      <c r="B4" s="7"/>
      <c r="C4" s="7"/>
      <c r="D4" s="7"/>
      <c r="E4" s="7"/>
      <c r="F4" s="7"/>
      <c r="G4" s="7"/>
      <c r="H4" s="7"/>
      <c r="I4" s="7"/>
      <c r="J4" s="14"/>
      <c r="K4" s="14"/>
      <c r="L4" s="14"/>
      <c r="M4" s="14"/>
      <c r="N4" s="15"/>
    </row>
    <row r="5" spans="1:16" ht="14.25" customHeight="1">
      <c r="A5" s="25" t="s">
        <v>17</v>
      </c>
      <c r="B5" s="26">
        <v>295300</v>
      </c>
      <c r="C5" s="26">
        <v>299400</v>
      </c>
      <c r="D5" s="26">
        <v>299400</v>
      </c>
      <c r="E5" s="26">
        <v>293300</v>
      </c>
      <c r="F5" s="26">
        <f>293300+5910</f>
        <v>299210</v>
      </c>
      <c r="G5" s="26">
        <v>291600</v>
      </c>
      <c r="H5" s="26">
        <v>249000</v>
      </c>
      <c r="I5" s="26">
        <v>279180</v>
      </c>
      <c r="J5" s="26">
        <f>303380+394275</f>
        <v>697655</v>
      </c>
      <c r="K5" s="26">
        <v>290600</v>
      </c>
      <c r="L5" s="26">
        <v>297700</v>
      </c>
      <c r="M5" s="26">
        <v>296250</v>
      </c>
      <c r="N5" s="27">
        <f aca="true" t="shared" si="0" ref="N5:N20">SUM(B5:M5)</f>
        <v>3888595</v>
      </c>
      <c r="O5" s="4"/>
      <c r="P5" s="22">
        <f aca="true" t="shared" si="1" ref="P5:P20">+O5-N5</f>
        <v>-3888595</v>
      </c>
    </row>
    <row r="6" spans="1:16" ht="14.25" customHeight="1">
      <c r="A6" s="28" t="s">
        <v>18</v>
      </c>
      <c r="B6" s="26">
        <v>200238</v>
      </c>
      <c r="C6" s="26">
        <v>200239</v>
      </c>
      <c r="D6" s="26">
        <v>200238</v>
      </c>
      <c r="E6" s="26">
        <v>200239</v>
      </c>
      <c r="F6" s="26">
        <v>200238</v>
      </c>
      <c r="G6" s="26">
        <v>200239</v>
      </c>
      <c r="H6" s="26">
        <v>200238</v>
      </c>
      <c r="I6" s="26">
        <v>200238</v>
      </c>
      <c r="J6" s="26">
        <f>200239+2262</f>
        <v>202501</v>
      </c>
      <c r="K6" s="26">
        <v>200238</v>
      </c>
      <c r="L6" s="26">
        <v>200239</v>
      </c>
      <c r="M6" s="26">
        <v>200238</v>
      </c>
      <c r="N6" s="27">
        <f t="shared" si="0"/>
        <v>2405123</v>
      </c>
      <c r="P6" s="22">
        <f t="shared" si="1"/>
        <v>-2405123</v>
      </c>
    </row>
    <row r="7" spans="1:16" ht="14.25" customHeight="1">
      <c r="A7" s="28" t="s">
        <v>19</v>
      </c>
      <c r="B7" s="26">
        <v>10000</v>
      </c>
      <c r="C7" s="26">
        <v>10000</v>
      </c>
      <c r="D7" s="26">
        <v>30000</v>
      </c>
      <c r="E7" s="26">
        <v>50000</v>
      </c>
      <c r="F7" s="26">
        <f>50000+2743</f>
        <v>52743</v>
      </c>
      <c r="G7" s="26">
        <v>60000</v>
      </c>
      <c r="H7" s="26">
        <v>58750</v>
      </c>
      <c r="I7" s="26">
        <v>60000</v>
      </c>
      <c r="J7" s="26">
        <f>50000+41751</f>
        <v>91751</v>
      </c>
      <c r="K7" s="26">
        <v>45000</v>
      </c>
      <c r="L7" s="26">
        <v>45000</v>
      </c>
      <c r="M7" s="26">
        <v>43000</v>
      </c>
      <c r="N7" s="27">
        <f t="shared" si="0"/>
        <v>556244</v>
      </c>
      <c r="O7" s="4"/>
      <c r="P7" s="22">
        <f t="shared" si="1"/>
        <v>-556244</v>
      </c>
    </row>
    <row r="8" spans="1:16" ht="14.25" customHeight="1">
      <c r="A8" s="28" t="s">
        <v>20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si="0"/>
        <v>0</v>
      </c>
      <c r="O8" s="5"/>
      <c r="P8" s="22">
        <f t="shared" si="1"/>
        <v>0</v>
      </c>
    </row>
    <row r="9" spans="1:16" ht="14.25" customHeight="1">
      <c r="A9" s="28" t="s">
        <v>21</v>
      </c>
      <c r="B9" s="26">
        <f>483806+50000</f>
        <v>533806</v>
      </c>
      <c r="C9" s="26">
        <v>483807</v>
      </c>
      <c r="D9" s="26">
        <v>483806</v>
      </c>
      <c r="E9" s="26">
        <v>483807</v>
      </c>
      <c r="F9" s="26">
        <f>483806+230228</f>
        <v>714034</v>
      </c>
      <c r="G9" s="26">
        <v>483807</v>
      </c>
      <c r="H9" s="26">
        <v>483806</v>
      </c>
      <c r="I9" s="26">
        <v>483807</v>
      </c>
      <c r="J9" s="26">
        <f>483806+570167</f>
        <v>1053973</v>
      </c>
      <c r="K9" s="26">
        <f>483807-11043</f>
        <v>472764</v>
      </c>
      <c r="L9" s="26">
        <v>483807</v>
      </c>
      <c r="M9" s="26">
        <v>483807</v>
      </c>
      <c r="N9" s="27">
        <f t="shared" si="0"/>
        <v>6645031</v>
      </c>
      <c r="P9" s="22">
        <f t="shared" si="1"/>
        <v>-6645031</v>
      </c>
    </row>
    <row r="10" spans="1:16" ht="14.25" customHeight="1">
      <c r="A10" s="28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f>111386</f>
        <v>111386</v>
      </c>
      <c r="G10" s="26">
        <v>0</v>
      </c>
      <c r="H10" s="26"/>
      <c r="I10" s="26">
        <v>0</v>
      </c>
      <c r="J10" s="26">
        <v>96852</v>
      </c>
      <c r="K10" s="26">
        <v>20038</v>
      </c>
      <c r="L10" s="26">
        <v>0</v>
      </c>
      <c r="M10" s="26">
        <v>0</v>
      </c>
      <c r="N10" s="27">
        <f t="shared" si="0"/>
        <v>228276</v>
      </c>
      <c r="P10" s="22">
        <f t="shared" si="1"/>
        <v>-228276</v>
      </c>
    </row>
    <row r="11" spans="1:16" ht="14.25" customHeight="1">
      <c r="A11" s="28" t="s">
        <v>23</v>
      </c>
      <c r="B11" s="26">
        <v>378000</v>
      </c>
      <c r="C11" s="26">
        <v>376000</v>
      </c>
      <c r="D11" s="26">
        <v>376000</v>
      </c>
      <c r="E11" s="26">
        <v>379812</v>
      </c>
      <c r="F11" s="26">
        <f>376000+185462</f>
        <v>561462</v>
      </c>
      <c r="G11" s="26">
        <v>376000</v>
      </c>
      <c r="H11" s="26">
        <v>376000</v>
      </c>
      <c r="I11" s="26">
        <v>376000</v>
      </c>
      <c r="J11" s="26">
        <f>376000+546322</f>
        <v>922322</v>
      </c>
      <c r="K11" s="26">
        <f>376000+39000</f>
        <v>415000</v>
      </c>
      <c r="L11" s="26">
        <v>376000</v>
      </c>
      <c r="M11" s="26">
        <v>376000</v>
      </c>
      <c r="N11" s="27">
        <f t="shared" si="0"/>
        <v>5288596</v>
      </c>
      <c r="P11" s="22">
        <f t="shared" si="1"/>
        <v>-5288596</v>
      </c>
    </row>
    <row r="12" spans="1:16" ht="14.25" customHeight="1">
      <c r="A12" s="25" t="s">
        <v>24</v>
      </c>
      <c r="B12" s="26">
        <v>779121</v>
      </c>
      <c r="C12" s="26">
        <v>779121</v>
      </c>
      <c r="D12" s="26">
        <v>779121</v>
      </c>
      <c r="E12" s="26">
        <v>779121</v>
      </c>
      <c r="F12" s="26">
        <f>779121+23585</f>
        <v>802706</v>
      </c>
      <c r="G12" s="26">
        <v>779121</v>
      </c>
      <c r="H12" s="26">
        <v>779121</v>
      </c>
      <c r="I12" s="26">
        <v>779121</v>
      </c>
      <c r="J12" s="26">
        <f>779121+118187</f>
        <v>897308</v>
      </c>
      <c r="K12" s="26">
        <v>779121</v>
      </c>
      <c r="L12" s="26">
        <v>779121</v>
      </c>
      <c r="M12" s="26">
        <v>779122</v>
      </c>
      <c r="N12" s="27">
        <f t="shared" si="0"/>
        <v>9491225</v>
      </c>
      <c r="P12" s="22">
        <f t="shared" si="1"/>
        <v>-9491225</v>
      </c>
    </row>
    <row r="13" spans="1:16" ht="14.25" customHeight="1">
      <c r="A13" s="25" t="s">
        <v>25</v>
      </c>
      <c r="B13" s="26">
        <v>5400</v>
      </c>
      <c r="C13" s="26">
        <v>3600</v>
      </c>
      <c r="D13" s="26">
        <v>4000</v>
      </c>
      <c r="E13" s="26">
        <v>150000</v>
      </c>
      <c r="F13" s="26">
        <f>18000</f>
        <v>18000</v>
      </c>
      <c r="G13" s="26">
        <v>22000</v>
      </c>
      <c r="H13" s="26">
        <v>28000</v>
      </c>
      <c r="I13" s="26">
        <v>18000</v>
      </c>
      <c r="J13" s="26">
        <f>150000+26154</f>
        <v>176154</v>
      </c>
      <c r="K13" s="26">
        <f>10000+3000</f>
        <v>13000</v>
      </c>
      <c r="L13" s="26">
        <v>18000</v>
      </c>
      <c r="M13" s="26">
        <v>28000</v>
      </c>
      <c r="N13" s="27">
        <f t="shared" si="0"/>
        <v>484154</v>
      </c>
      <c r="P13" s="22">
        <f t="shared" si="1"/>
        <v>-484154</v>
      </c>
    </row>
    <row r="14" spans="1:16" ht="14.25" customHeight="1">
      <c r="A14" s="25" t="s">
        <v>26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f t="shared" si="0"/>
        <v>0</v>
      </c>
      <c r="P14" s="22">
        <f t="shared" si="1"/>
        <v>0</v>
      </c>
    </row>
    <row r="15" spans="1:16" ht="14.25" customHeight="1">
      <c r="A15" s="28" t="s">
        <v>27</v>
      </c>
      <c r="B15" s="26">
        <v>2450</v>
      </c>
      <c r="C15" s="26">
        <v>2450</v>
      </c>
      <c r="D15" s="26">
        <v>2450</v>
      </c>
      <c r="E15" s="26">
        <v>2450</v>
      </c>
      <c r="F15" s="26">
        <v>2500</v>
      </c>
      <c r="G15" s="26">
        <v>2500</v>
      </c>
      <c r="H15" s="26">
        <v>2500</v>
      </c>
      <c r="I15" s="26">
        <v>2500</v>
      </c>
      <c r="J15" s="26">
        <v>2550</v>
      </c>
      <c r="K15" s="26">
        <v>2550</v>
      </c>
      <c r="L15" s="26">
        <v>2550</v>
      </c>
      <c r="M15" s="26">
        <v>2550</v>
      </c>
      <c r="N15" s="27">
        <f t="shared" si="0"/>
        <v>30000</v>
      </c>
      <c r="P15" s="22">
        <f t="shared" si="1"/>
        <v>-30000</v>
      </c>
    </row>
    <row r="16" spans="1:16" ht="14.25" customHeight="1">
      <c r="A16" s="28" t="s">
        <v>28</v>
      </c>
      <c r="B16" s="26">
        <v>88000</v>
      </c>
      <c r="C16" s="26">
        <v>79000</v>
      </c>
      <c r="D16" s="26">
        <v>70000</v>
      </c>
      <c r="E16" s="26">
        <v>59000</v>
      </c>
      <c r="F16" s="26">
        <f>59000+291892</f>
        <v>350892</v>
      </c>
      <c r="G16" s="26">
        <v>45000</v>
      </c>
      <c r="H16" s="26">
        <v>45000</v>
      </c>
      <c r="I16" s="26">
        <v>45000</v>
      </c>
      <c r="J16" s="26">
        <f>45285+82983</f>
        <v>128268</v>
      </c>
      <c r="K16" s="26">
        <v>56000</v>
      </c>
      <c r="L16" s="26">
        <v>60000</v>
      </c>
      <c r="M16" s="26">
        <v>64000</v>
      </c>
      <c r="N16" s="27">
        <f t="shared" si="0"/>
        <v>1090160</v>
      </c>
      <c r="P16" s="22">
        <f t="shared" si="1"/>
        <v>-1090160</v>
      </c>
    </row>
    <row r="17" spans="1:16" ht="14.25" customHeight="1">
      <c r="A17" s="28" t="s">
        <v>29</v>
      </c>
      <c r="B17" s="26">
        <v>128000</v>
      </c>
      <c r="C17" s="26">
        <v>185800</v>
      </c>
      <c r="D17" s="26">
        <v>255000</v>
      </c>
      <c r="E17" s="26">
        <v>346000</v>
      </c>
      <c r="F17" s="26">
        <f>300000+8703487</f>
        <v>9003487</v>
      </c>
      <c r="G17" s="26">
        <v>359000</v>
      </c>
      <c r="H17" s="26">
        <v>388000</v>
      </c>
      <c r="I17" s="26">
        <v>301000</v>
      </c>
      <c r="J17" s="26">
        <f>318000+63449</f>
        <v>381449</v>
      </c>
      <c r="K17" s="26">
        <v>268000</v>
      </c>
      <c r="L17" s="26">
        <v>250000</v>
      </c>
      <c r="M17" s="26">
        <v>157552</v>
      </c>
      <c r="N17" s="27">
        <f t="shared" si="0"/>
        <v>12023288</v>
      </c>
      <c r="P17" s="22">
        <f t="shared" si="1"/>
        <v>-12023288</v>
      </c>
    </row>
    <row r="18" spans="1:16" ht="14.25" customHeight="1">
      <c r="A18" s="28" t="s">
        <v>30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f t="shared" si="0"/>
        <v>0</v>
      </c>
      <c r="P18" s="22">
        <f t="shared" si="1"/>
        <v>0</v>
      </c>
    </row>
    <row r="19" spans="1:16" ht="14.25" customHeight="1">
      <c r="A19" s="28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f t="shared" si="0"/>
        <v>0</v>
      </c>
      <c r="P19" s="22">
        <f t="shared" si="1"/>
        <v>0</v>
      </c>
    </row>
    <row r="20" spans="1:16" ht="14.25" customHeight="1" thickBot="1">
      <c r="A20" s="35" t="s">
        <v>32</v>
      </c>
      <c r="B20" s="26">
        <f>-B9</f>
        <v>-533806</v>
      </c>
      <c r="C20" s="26">
        <f>-C9</f>
        <v>-483807</v>
      </c>
      <c r="D20" s="26">
        <f>-D9</f>
        <v>-483806</v>
      </c>
      <c r="E20" s="26">
        <f>-E9</f>
        <v>-483807</v>
      </c>
      <c r="F20" s="26">
        <f>-F9-F10</f>
        <v>-825420</v>
      </c>
      <c r="G20" s="26">
        <f aca="true" t="shared" si="2" ref="G20:M20">-G9</f>
        <v>-483807</v>
      </c>
      <c r="H20" s="26">
        <f t="shared" si="2"/>
        <v>-483806</v>
      </c>
      <c r="I20" s="26">
        <f t="shared" si="2"/>
        <v>-483807</v>
      </c>
      <c r="J20" s="26">
        <f>-J9-J10</f>
        <v>-1150825</v>
      </c>
      <c r="K20" s="26">
        <f t="shared" si="2"/>
        <v>-472764</v>
      </c>
      <c r="L20" s="26">
        <f t="shared" si="2"/>
        <v>-483807</v>
      </c>
      <c r="M20" s="26">
        <f t="shared" si="2"/>
        <v>-483807</v>
      </c>
      <c r="N20" s="27">
        <f t="shared" si="0"/>
        <v>-6853269</v>
      </c>
      <c r="P20" s="22">
        <f t="shared" si="1"/>
        <v>6853269</v>
      </c>
    </row>
    <row r="21" spans="1:14" ht="15.75" customHeight="1" thickBot="1">
      <c r="A21" s="2" t="s">
        <v>33</v>
      </c>
      <c r="B21" s="11">
        <f aca="true" t="shared" si="3" ref="B21:N21">SUM(B5:B20)</f>
        <v>1886509</v>
      </c>
      <c r="C21" s="11">
        <f t="shared" si="3"/>
        <v>1935610</v>
      </c>
      <c r="D21" s="11">
        <f t="shared" si="3"/>
        <v>2016209</v>
      </c>
      <c r="E21" s="11">
        <f t="shared" si="3"/>
        <v>2259922</v>
      </c>
      <c r="F21" s="11">
        <f t="shared" si="3"/>
        <v>11291238</v>
      </c>
      <c r="G21" s="11">
        <f t="shared" si="3"/>
        <v>2135460</v>
      </c>
      <c r="H21" s="11">
        <f t="shared" si="3"/>
        <v>2126609</v>
      </c>
      <c r="I21" s="11">
        <f t="shared" si="3"/>
        <v>2061039</v>
      </c>
      <c r="J21" s="11">
        <f t="shared" si="3"/>
        <v>3499958</v>
      </c>
      <c r="K21" s="11">
        <f t="shared" si="3"/>
        <v>2089547</v>
      </c>
      <c r="L21" s="11">
        <f t="shared" si="3"/>
        <v>2028610</v>
      </c>
      <c r="M21" s="11">
        <f t="shared" si="3"/>
        <v>1946712</v>
      </c>
      <c r="N21" s="16">
        <f t="shared" si="3"/>
        <v>35277423</v>
      </c>
    </row>
    <row r="22" spans="1:14" ht="18.75">
      <c r="A22" s="8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6" ht="14.25" customHeight="1">
      <c r="A23" s="25" t="s">
        <v>35</v>
      </c>
      <c r="B23" s="26">
        <v>835000</v>
      </c>
      <c r="C23" s="26">
        <v>698000</v>
      </c>
      <c r="D23" s="26">
        <v>698000</v>
      </c>
      <c r="E23" s="26">
        <v>750000</v>
      </c>
      <c r="F23" s="26">
        <f>698000+95428</f>
        <v>793428</v>
      </c>
      <c r="G23" s="26">
        <v>750000</v>
      </c>
      <c r="H23" s="26">
        <v>700000</v>
      </c>
      <c r="I23" s="26">
        <v>700000</v>
      </c>
      <c r="J23" s="26">
        <f>750000+441335</f>
        <v>1191335</v>
      </c>
      <c r="K23" s="26">
        <f>700000-7372</f>
        <v>692628</v>
      </c>
      <c r="L23" s="26">
        <v>800000</v>
      </c>
      <c r="M23" s="26">
        <v>735608</v>
      </c>
      <c r="N23" s="27">
        <f aca="true" t="shared" si="4" ref="N23:N37">SUM(B23:M23)</f>
        <v>9343999</v>
      </c>
      <c r="P23" s="22">
        <f aca="true" t="shared" si="5" ref="P23:P37">+O23-N23</f>
        <v>-9343999</v>
      </c>
    </row>
    <row r="24" spans="1:16" ht="14.25" customHeight="1">
      <c r="A24" s="28" t="s">
        <v>36</v>
      </c>
      <c r="B24" s="26">
        <v>251996</v>
      </c>
      <c r="C24" s="26">
        <v>208747</v>
      </c>
      <c r="D24" s="26">
        <v>208746</v>
      </c>
      <c r="E24" s="26">
        <v>224747</v>
      </c>
      <c r="F24" s="26">
        <f>208746+27488</f>
        <v>236234</v>
      </c>
      <c r="G24" s="26">
        <v>224947</v>
      </c>
      <c r="H24" s="26">
        <v>209996</v>
      </c>
      <c r="I24" s="26">
        <v>209996</v>
      </c>
      <c r="J24" s="26">
        <f>224247+153231</f>
        <v>377478</v>
      </c>
      <c r="K24" s="26">
        <f>209296-2359</f>
        <v>206937</v>
      </c>
      <c r="L24" s="26">
        <v>239135</v>
      </c>
      <c r="M24" s="26">
        <v>219940</v>
      </c>
      <c r="N24" s="27">
        <f t="shared" si="4"/>
        <v>2818899</v>
      </c>
      <c r="P24" s="22">
        <f t="shared" si="5"/>
        <v>-2818899</v>
      </c>
    </row>
    <row r="25" spans="1:16" ht="14.25" customHeight="1">
      <c r="A25" s="28" t="s">
        <v>37</v>
      </c>
      <c r="B25" s="26">
        <f>925195+50000</f>
        <v>975195</v>
      </c>
      <c r="C25" s="26">
        <v>925195</v>
      </c>
      <c r="D25" s="26">
        <v>840000</v>
      </c>
      <c r="E25" s="26">
        <v>640180</v>
      </c>
      <c r="F25" s="26">
        <f>474200+239274</f>
        <v>713474</v>
      </c>
      <c r="G25" s="26">
        <v>394200</v>
      </c>
      <c r="H25" s="26">
        <v>324150</v>
      </c>
      <c r="I25" s="26">
        <v>374200</v>
      </c>
      <c r="J25" s="26">
        <f>575014+445134</f>
        <v>1020148</v>
      </c>
      <c r="K25" s="26">
        <f>750600-1312</f>
        <v>749288</v>
      </c>
      <c r="L25" s="26">
        <v>820145</v>
      </c>
      <c r="M25" s="26">
        <v>863680</v>
      </c>
      <c r="N25" s="27">
        <f t="shared" si="4"/>
        <v>8639855</v>
      </c>
      <c r="P25" s="22">
        <f t="shared" si="5"/>
        <v>-8639855</v>
      </c>
    </row>
    <row r="26" spans="1:16" ht="14.25" customHeight="1">
      <c r="A26" s="25" t="s">
        <v>38</v>
      </c>
      <c r="B26" s="26">
        <v>0</v>
      </c>
      <c r="C26" s="26">
        <v>0</v>
      </c>
      <c r="D26" s="26">
        <v>0</v>
      </c>
      <c r="E26" s="26">
        <v>1000</v>
      </c>
      <c r="F26" s="26">
        <v>0</v>
      </c>
      <c r="G26" s="26">
        <v>0</v>
      </c>
      <c r="H26" s="26">
        <v>0</v>
      </c>
      <c r="I26" s="26">
        <v>0</v>
      </c>
      <c r="J26" s="26">
        <f>1000+7790</f>
        <v>8790</v>
      </c>
      <c r="K26" s="26">
        <v>0</v>
      </c>
      <c r="L26" s="26">
        <v>961</v>
      </c>
      <c r="M26" s="26">
        <v>0</v>
      </c>
      <c r="N26" s="27">
        <f t="shared" si="4"/>
        <v>10751</v>
      </c>
      <c r="P26" s="22">
        <f t="shared" si="5"/>
        <v>-10751</v>
      </c>
    </row>
    <row r="27" spans="1:16" ht="14.25" customHeight="1">
      <c r="A27" s="25" t="s">
        <v>39</v>
      </c>
      <c r="B27" s="26">
        <v>0</v>
      </c>
      <c r="C27" s="26">
        <v>0</v>
      </c>
      <c r="D27" s="26">
        <v>50000</v>
      </c>
      <c r="E27" s="26">
        <v>0</v>
      </c>
      <c r="F27" s="26">
        <v>50000</v>
      </c>
      <c r="G27" s="26">
        <v>7000</v>
      </c>
      <c r="H27" s="26">
        <v>8000</v>
      </c>
      <c r="I27" s="26">
        <v>100000</v>
      </c>
      <c r="J27" s="26">
        <f>50000+10000</f>
        <v>60000</v>
      </c>
      <c r="K27" s="26">
        <v>0</v>
      </c>
      <c r="L27" s="26">
        <v>50000</v>
      </c>
      <c r="M27" s="26">
        <v>0</v>
      </c>
      <c r="N27" s="27">
        <f t="shared" si="4"/>
        <v>325000</v>
      </c>
      <c r="P27" s="22">
        <f t="shared" si="5"/>
        <v>-325000</v>
      </c>
    </row>
    <row r="28" spans="1:16" ht="14.25" customHeight="1">
      <c r="A28" s="25" t="s">
        <v>40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f t="shared" si="4"/>
        <v>0</v>
      </c>
      <c r="P28" s="22">
        <f t="shared" si="5"/>
        <v>0</v>
      </c>
    </row>
    <row r="29" spans="1:16" ht="14.25" customHeight="1">
      <c r="A29" s="25" t="s">
        <v>41</v>
      </c>
      <c r="B29" s="26">
        <v>0</v>
      </c>
      <c r="C29" s="26">
        <v>0</v>
      </c>
      <c r="D29" s="26">
        <v>0</v>
      </c>
      <c r="E29" s="26">
        <v>3000</v>
      </c>
      <c r="F29" s="26">
        <f>25000+127854</f>
        <v>152854</v>
      </c>
      <c r="G29" s="26">
        <v>4000</v>
      </c>
      <c r="H29" s="26">
        <v>40000</v>
      </c>
      <c r="I29" s="26">
        <v>3500</v>
      </c>
      <c r="J29" s="26">
        <f>8000+30249</f>
        <v>38249</v>
      </c>
      <c r="K29" s="26">
        <f>9964+72148</f>
        <v>82112</v>
      </c>
      <c r="L29" s="26">
        <v>18000</v>
      </c>
      <c r="M29" s="26">
        <v>8000</v>
      </c>
      <c r="N29" s="27">
        <f t="shared" si="4"/>
        <v>349715</v>
      </c>
      <c r="P29" s="22">
        <f t="shared" si="5"/>
        <v>-349715</v>
      </c>
    </row>
    <row r="30" spans="1:16" ht="14.25" customHeight="1">
      <c r="A30" s="25" t="s">
        <v>42</v>
      </c>
      <c r="B30" s="26">
        <v>0</v>
      </c>
      <c r="C30" s="26">
        <v>0</v>
      </c>
      <c r="D30" s="26">
        <v>0</v>
      </c>
      <c r="E30" s="26">
        <v>0</v>
      </c>
      <c r="F30" s="26">
        <f>43790</f>
        <v>43790</v>
      </c>
      <c r="G30" s="26">
        <v>0</v>
      </c>
      <c r="H30" s="26">
        <v>0</v>
      </c>
      <c r="I30" s="26">
        <v>0</v>
      </c>
      <c r="J30" s="26">
        <f>23000</f>
        <v>23000</v>
      </c>
      <c r="K30" s="26">
        <v>0</v>
      </c>
      <c r="L30" s="26">
        <v>0</v>
      </c>
      <c r="M30" s="26">
        <v>0</v>
      </c>
      <c r="N30" s="27">
        <f t="shared" si="4"/>
        <v>66790</v>
      </c>
      <c r="P30" s="22">
        <f t="shared" si="5"/>
        <v>-66790</v>
      </c>
    </row>
    <row r="31" spans="1:16" ht="14.25" customHeight="1">
      <c r="A31" s="28" t="s">
        <v>43</v>
      </c>
      <c r="B31" s="26">
        <v>21040</v>
      </c>
      <c r="C31" s="26">
        <v>21040</v>
      </c>
      <c r="D31" s="26">
        <v>21040</v>
      </c>
      <c r="E31" s="26">
        <v>21040</v>
      </c>
      <c r="F31" s="26">
        <f>21040+329</f>
        <v>21369</v>
      </c>
      <c r="G31" s="26">
        <v>21040</v>
      </c>
      <c r="H31" s="26">
        <v>21000</v>
      </c>
      <c r="I31" s="26">
        <v>21000</v>
      </c>
      <c r="J31" s="26">
        <f>21050+10190</f>
        <v>31240</v>
      </c>
      <c r="K31" s="26">
        <v>21050</v>
      </c>
      <c r="L31" s="26">
        <v>21112</v>
      </c>
      <c r="M31" s="26">
        <v>21050</v>
      </c>
      <c r="N31" s="27">
        <f t="shared" si="4"/>
        <v>263021</v>
      </c>
      <c r="P31" s="22">
        <f t="shared" si="5"/>
        <v>-263021</v>
      </c>
    </row>
    <row r="32" spans="1:16" ht="14.25" customHeight="1">
      <c r="A32" s="28" t="s">
        <v>44</v>
      </c>
      <c r="B32" s="26">
        <v>3000</v>
      </c>
      <c r="C32" s="26">
        <v>5800</v>
      </c>
      <c r="D32" s="26">
        <v>25000</v>
      </c>
      <c r="E32" s="26">
        <v>25000</v>
      </c>
      <c r="F32" s="26">
        <f>35000+16796</f>
        <v>51796</v>
      </c>
      <c r="G32" s="26">
        <v>28000</v>
      </c>
      <c r="H32" s="26">
        <v>55000</v>
      </c>
      <c r="I32" s="26">
        <v>65000</v>
      </c>
      <c r="J32" s="26">
        <f>72217+64839</f>
        <v>137056</v>
      </c>
      <c r="K32" s="26">
        <f>76160-93</f>
        <v>76067</v>
      </c>
      <c r="L32" s="26">
        <v>38000</v>
      </c>
      <c r="M32" s="26">
        <v>8000</v>
      </c>
      <c r="N32" s="27">
        <f t="shared" si="4"/>
        <v>517719</v>
      </c>
      <c r="P32" s="22">
        <f t="shared" si="5"/>
        <v>-517719</v>
      </c>
    </row>
    <row r="33" spans="1:16" ht="14.25" customHeight="1">
      <c r="A33" s="28" t="s">
        <v>45</v>
      </c>
      <c r="B33" s="26">
        <v>105000</v>
      </c>
      <c r="C33" s="26">
        <v>180000</v>
      </c>
      <c r="D33" s="26">
        <v>180000</v>
      </c>
      <c r="E33" s="26">
        <v>318000</v>
      </c>
      <c r="F33" s="26">
        <f>250000+1076057</f>
        <v>1326057</v>
      </c>
      <c r="G33" s="26">
        <v>420000</v>
      </c>
      <c r="H33" s="26">
        <f>440000+25000</f>
        <v>465000</v>
      </c>
      <c r="I33" s="26">
        <v>280000</v>
      </c>
      <c r="J33" s="26">
        <f>325422+685918</f>
        <v>1011340</v>
      </c>
      <c r="K33" s="26">
        <f>288000+53989</f>
        <v>341989</v>
      </c>
      <c r="L33" s="26">
        <v>268720</v>
      </c>
      <c r="M33" s="26">
        <v>401000</v>
      </c>
      <c r="N33" s="27">
        <f t="shared" si="4"/>
        <v>5297106</v>
      </c>
      <c r="P33" s="22">
        <f t="shared" si="5"/>
        <v>-5297106</v>
      </c>
    </row>
    <row r="34" spans="1:16" ht="14.25" customHeight="1">
      <c r="A34" s="25" t="s">
        <v>46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f t="shared" si="4"/>
        <v>0</v>
      </c>
      <c r="P34" s="22">
        <f t="shared" si="5"/>
        <v>0</v>
      </c>
    </row>
    <row r="35" spans="1:16" ht="14.25" customHeight="1">
      <c r="A35" s="28" t="s">
        <v>47</v>
      </c>
      <c r="B35" s="26">
        <v>20000</v>
      </c>
      <c r="C35" s="26">
        <v>0</v>
      </c>
      <c r="D35" s="26">
        <v>0</v>
      </c>
      <c r="E35" s="26">
        <v>21000</v>
      </c>
      <c r="F35" s="26">
        <f>45000+7552084</f>
        <v>7597084</v>
      </c>
      <c r="G35" s="26">
        <v>42000</v>
      </c>
      <c r="H35" s="26">
        <f>150000-50000-25000</f>
        <v>75000</v>
      </c>
      <c r="I35" s="26">
        <v>140000</v>
      </c>
      <c r="J35" s="26">
        <f>120091-596303</f>
        <v>-476212</v>
      </c>
      <c r="K35" s="26">
        <f>95000-73001</f>
        <v>21999</v>
      </c>
      <c r="L35" s="26">
        <v>67000</v>
      </c>
      <c r="M35" s="26">
        <v>51000</v>
      </c>
      <c r="N35" s="27">
        <f t="shared" si="4"/>
        <v>7558871</v>
      </c>
      <c r="P35" s="22">
        <f t="shared" si="5"/>
        <v>-7558871</v>
      </c>
    </row>
    <row r="36" spans="1:16" ht="14.25" customHeight="1">
      <c r="A36" s="25" t="s">
        <v>48</v>
      </c>
      <c r="B36" s="26">
        <v>0</v>
      </c>
      <c r="C36" s="26">
        <v>0</v>
      </c>
      <c r="D36" s="26">
        <f>2550+2440+2640</f>
        <v>7630</v>
      </c>
      <c r="E36" s="26">
        <v>0</v>
      </c>
      <c r="F36" s="26">
        <f>33979</f>
        <v>33979</v>
      </c>
      <c r="G36" s="26">
        <v>7450</v>
      </c>
      <c r="H36" s="26">
        <v>0</v>
      </c>
      <c r="I36" s="26">
        <v>0</v>
      </c>
      <c r="J36" s="26">
        <v>7800</v>
      </c>
      <c r="K36" s="26">
        <v>0</v>
      </c>
      <c r="L36" s="26">
        <v>0</v>
      </c>
      <c r="M36" s="26">
        <v>8800</v>
      </c>
      <c r="N36" s="27">
        <f t="shared" si="4"/>
        <v>65659</v>
      </c>
      <c r="P36" s="22">
        <f t="shared" si="5"/>
        <v>-65659</v>
      </c>
    </row>
    <row r="37" spans="1:16" ht="14.25" customHeight="1" thickBot="1">
      <c r="A37" s="25" t="s">
        <v>49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f t="shared" si="4"/>
        <v>0</v>
      </c>
      <c r="P37" s="22">
        <f t="shared" si="5"/>
        <v>0</v>
      </c>
    </row>
    <row r="38" spans="1:14" ht="15.75" customHeight="1" thickBot="1">
      <c r="A38" s="2" t="s">
        <v>50</v>
      </c>
      <c r="B38" s="12">
        <f aca="true" t="shared" si="6" ref="B38:N38">SUM(B23:B37)</f>
        <v>2211231</v>
      </c>
      <c r="C38" s="12">
        <f t="shared" si="6"/>
        <v>2038782</v>
      </c>
      <c r="D38" s="12">
        <f t="shared" si="6"/>
        <v>2030416</v>
      </c>
      <c r="E38" s="12">
        <f t="shared" si="6"/>
        <v>2003967</v>
      </c>
      <c r="F38" s="12">
        <f t="shared" si="6"/>
        <v>11020065</v>
      </c>
      <c r="G38" s="12">
        <f t="shared" si="6"/>
        <v>1898637</v>
      </c>
      <c r="H38" s="12">
        <f t="shared" si="6"/>
        <v>1898146</v>
      </c>
      <c r="I38" s="12">
        <f t="shared" si="6"/>
        <v>1893696</v>
      </c>
      <c r="J38" s="12">
        <f t="shared" si="6"/>
        <v>3430224</v>
      </c>
      <c r="K38" s="12">
        <f t="shared" si="6"/>
        <v>2192070</v>
      </c>
      <c r="L38" s="12">
        <f t="shared" si="6"/>
        <v>2323073</v>
      </c>
      <c r="M38" s="12">
        <f t="shared" si="6"/>
        <v>2317078</v>
      </c>
      <c r="N38" s="16">
        <f t="shared" si="6"/>
        <v>35257385</v>
      </c>
    </row>
    <row r="40" spans="2:14" ht="12.75">
      <c r="B40" s="22"/>
      <c r="C40" s="22"/>
      <c r="D40" s="22"/>
      <c r="E40" s="22"/>
      <c r="F40" s="22"/>
      <c r="G40" s="22"/>
      <c r="H40" s="22"/>
      <c r="I40" s="22"/>
      <c r="J40" s="22"/>
      <c r="K40" s="37"/>
      <c r="L40" s="22"/>
      <c r="M40" s="22"/>
      <c r="N40" s="22"/>
    </row>
    <row r="42" spans="1:14" ht="12.75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4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rendelettervezet 9.sz.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6">
      <selection activeCell="L12" sqref="L12"/>
    </sheetView>
  </sheetViews>
  <sheetFormatPr defaultColWidth="9.00390625" defaultRowHeight="12.75"/>
  <cols>
    <col min="1" max="1" width="28.00390625" style="0" customWidth="1"/>
    <col min="2" max="9" width="10.75390625" style="0" customWidth="1"/>
    <col min="10" max="11" width="10.75390625" style="17" customWidth="1"/>
    <col min="12" max="14" width="10.75390625" style="0" customWidth="1"/>
    <col min="15" max="15" width="12.625" style="3" customWidth="1"/>
    <col min="16" max="16" width="11.75390625" style="0" customWidth="1"/>
    <col min="17" max="17" width="12.00390625" style="0" customWidth="1"/>
    <col min="18" max="18" width="9.25390625" style="0" customWidth="1"/>
  </cols>
  <sheetData>
    <row r="1" spans="1:14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36"/>
      <c r="L1" s="19"/>
      <c r="M1" s="19"/>
      <c r="N1" s="19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0"/>
      <c r="N2" s="21" t="s">
        <v>1</v>
      </c>
    </row>
    <row r="3" spans="1:14" ht="19.5" customHeight="1" thickBo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4" t="s">
        <v>15</v>
      </c>
    </row>
    <row r="4" spans="1:14" ht="18.75">
      <c r="A4" s="6" t="s">
        <v>16</v>
      </c>
      <c r="B4" s="7"/>
      <c r="C4" s="7"/>
      <c r="D4" s="7"/>
      <c r="E4" s="7"/>
      <c r="F4" s="7"/>
      <c r="G4" s="7"/>
      <c r="H4" s="7"/>
      <c r="I4" s="7"/>
      <c r="J4" s="14"/>
      <c r="K4" s="14"/>
      <c r="L4" s="14"/>
      <c r="M4" s="14"/>
      <c r="N4" s="15"/>
    </row>
    <row r="5" spans="1:16" ht="14.25" customHeight="1">
      <c r="A5" s="25" t="s">
        <v>17</v>
      </c>
      <c r="B5" s="26">
        <v>295300</v>
      </c>
      <c r="C5" s="26">
        <v>299400</v>
      </c>
      <c r="D5" s="26">
        <v>299400</v>
      </c>
      <c r="E5" s="26">
        <v>293300</v>
      </c>
      <c r="F5" s="26">
        <f>293300+5910</f>
        <v>299210</v>
      </c>
      <c r="G5" s="26">
        <v>291600</v>
      </c>
      <c r="H5" s="26">
        <v>249000</v>
      </c>
      <c r="I5" s="26">
        <v>279180</v>
      </c>
      <c r="J5" s="26">
        <f>303380+394275</f>
        <v>697655</v>
      </c>
      <c r="K5" s="26">
        <v>290600</v>
      </c>
      <c r="L5" s="26">
        <f>297700+3756</f>
        <v>301456</v>
      </c>
      <c r="M5" s="26">
        <v>296250</v>
      </c>
      <c r="N5" s="27">
        <f aca="true" t="shared" si="0" ref="N5:N20">SUM(B5:M5)</f>
        <v>3892351</v>
      </c>
      <c r="O5" s="4"/>
      <c r="P5" s="22">
        <f aca="true" t="shared" si="1" ref="P5:P20">+O5-N5</f>
        <v>-3892351</v>
      </c>
    </row>
    <row r="6" spans="1:16" ht="14.25" customHeight="1">
      <c r="A6" s="28" t="s">
        <v>18</v>
      </c>
      <c r="B6" s="26">
        <v>200238</v>
      </c>
      <c r="C6" s="26">
        <v>200239</v>
      </c>
      <c r="D6" s="26">
        <v>200238</v>
      </c>
      <c r="E6" s="26">
        <v>200239</v>
      </c>
      <c r="F6" s="26">
        <v>200238</v>
      </c>
      <c r="G6" s="26">
        <v>200239</v>
      </c>
      <c r="H6" s="26">
        <v>200238</v>
      </c>
      <c r="I6" s="26">
        <v>200238</v>
      </c>
      <c r="J6" s="26">
        <f>200239+2262</f>
        <v>202501</v>
      </c>
      <c r="K6" s="26">
        <v>200238</v>
      </c>
      <c r="L6" s="26">
        <f>200239+9526</f>
        <v>209765</v>
      </c>
      <c r="M6" s="26">
        <v>200238</v>
      </c>
      <c r="N6" s="27">
        <f t="shared" si="0"/>
        <v>2414649</v>
      </c>
      <c r="P6" s="22">
        <f t="shared" si="1"/>
        <v>-2414649</v>
      </c>
    </row>
    <row r="7" spans="1:16" ht="14.25" customHeight="1">
      <c r="A7" s="28" t="s">
        <v>19</v>
      </c>
      <c r="B7" s="26">
        <v>10000</v>
      </c>
      <c r="C7" s="26">
        <v>10000</v>
      </c>
      <c r="D7" s="26">
        <v>30000</v>
      </c>
      <c r="E7" s="26">
        <v>50000</v>
      </c>
      <c r="F7" s="26">
        <f>50000+2743</f>
        <v>52743</v>
      </c>
      <c r="G7" s="26">
        <v>60000</v>
      </c>
      <c r="H7" s="26">
        <v>58750</v>
      </c>
      <c r="I7" s="26">
        <v>60000</v>
      </c>
      <c r="J7" s="26">
        <f>50000+41751</f>
        <v>91751</v>
      </c>
      <c r="K7" s="26">
        <v>45000</v>
      </c>
      <c r="L7" s="26">
        <f>45000-1749</f>
        <v>43251</v>
      </c>
      <c r="M7" s="26">
        <v>43000</v>
      </c>
      <c r="N7" s="27">
        <f t="shared" si="0"/>
        <v>554495</v>
      </c>
      <c r="O7" s="4"/>
      <c r="P7" s="22">
        <f t="shared" si="1"/>
        <v>-554495</v>
      </c>
    </row>
    <row r="8" spans="1:16" ht="14.25" customHeight="1">
      <c r="A8" s="28" t="s">
        <v>20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si="0"/>
        <v>0</v>
      </c>
      <c r="O8" s="5"/>
      <c r="P8" s="22">
        <f t="shared" si="1"/>
        <v>0</v>
      </c>
    </row>
    <row r="9" spans="1:16" ht="14.25" customHeight="1">
      <c r="A9" s="28" t="s">
        <v>21</v>
      </c>
      <c r="B9" s="26">
        <f>483806+50000</f>
        <v>533806</v>
      </c>
      <c r="C9" s="26">
        <v>483807</v>
      </c>
      <c r="D9" s="26">
        <v>483806</v>
      </c>
      <c r="E9" s="26">
        <v>483807</v>
      </c>
      <c r="F9" s="26">
        <f>483806+230228</f>
        <v>714034</v>
      </c>
      <c r="G9" s="26">
        <v>483807</v>
      </c>
      <c r="H9" s="26">
        <v>483806</v>
      </c>
      <c r="I9" s="26">
        <v>483807</v>
      </c>
      <c r="J9" s="26">
        <f>483806+570167</f>
        <v>1053973</v>
      </c>
      <c r="K9" s="26">
        <f>483807-11043</f>
        <v>472764</v>
      </c>
      <c r="L9" s="26">
        <f>483807+3120</f>
        <v>486927</v>
      </c>
      <c r="M9" s="26">
        <v>483807</v>
      </c>
      <c r="N9" s="27">
        <f t="shared" si="0"/>
        <v>6648151</v>
      </c>
      <c r="P9" s="22">
        <f t="shared" si="1"/>
        <v>-6648151</v>
      </c>
    </row>
    <row r="10" spans="1:16" ht="14.25" customHeight="1">
      <c r="A10" s="28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f>111386</f>
        <v>111386</v>
      </c>
      <c r="G10" s="26">
        <v>0</v>
      </c>
      <c r="H10" s="26">
        <v>25000</v>
      </c>
      <c r="I10" s="26">
        <v>0</v>
      </c>
      <c r="J10" s="26">
        <v>96852</v>
      </c>
      <c r="K10" s="26">
        <v>20038</v>
      </c>
      <c r="L10" s="26">
        <v>12586</v>
      </c>
      <c r="M10" s="26">
        <v>0</v>
      </c>
      <c r="N10" s="27">
        <f t="shared" si="0"/>
        <v>265862</v>
      </c>
      <c r="P10" s="22">
        <f t="shared" si="1"/>
        <v>-265862</v>
      </c>
    </row>
    <row r="11" spans="1:16" ht="14.25" customHeight="1">
      <c r="A11" s="28" t="s">
        <v>23</v>
      </c>
      <c r="B11" s="26">
        <v>378000</v>
      </c>
      <c r="C11" s="26">
        <v>376000</v>
      </c>
      <c r="D11" s="26">
        <v>376000</v>
      </c>
      <c r="E11" s="26">
        <v>379812</v>
      </c>
      <c r="F11" s="26">
        <f>376000+185462</f>
        <v>561462</v>
      </c>
      <c r="G11" s="26">
        <v>376000</v>
      </c>
      <c r="H11" s="26">
        <v>376000</v>
      </c>
      <c r="I11" s="26">
        <v>376000</v>
      </c>
      <c r="J11" s="26">
        <f>376000+546322</f>
        <v>922322</v>
      </c>
      <c r="K11" s="26">
        <f>376000+39000</f>
        <v>415000</v>
      </c>
      <c r="L11" s="26">
        <f>376000-19790</f>
        <v>356210</v>
      </c>
      <c r="M11" s="26">
        <v>376000</v>
      </c>
      <c r="N11" s="27">
        <f t="shared" si="0"/>
        <v>5268806</v>
      </c>
      <c r="P11" s="22">
        <f t="shared" si="1"/>
        <v>-5268806</v>
      </c>
    </row>
    <row r="12" spans="1:16" ht="14.25" customHeight="1">
      <c r="A12" s="25" t="s">
        <v>24</v>
      </c>
      <c r="B12" s="26">
        <v>779121</v>
      </c>
      <c r="C12" s="26">
        <v>779121</v>
      </c>
      <c r="D12" s="26">
        <v>779121</v>
      </c>
      <c r="E12" s="26">
        <v>779121</v>
      </c>
      <c r="F12" s="26">
        <f>779121+23585</f>
        <v>802706</v>
      </c>
      <c r="G12" s="26">
        <v>779121</v>
      </c>
      <c r="H12" s="26">
        <v>779121</v>
      </c>
      <c r="I12" s="26">
        <v>779121</v>
      </c>
      <c r="J12" s="26">
        <f>779121+118187</f>
        <v>897308</v>
      </c>
      <c r="K12" s="26">
        <v>779121</v>
      </c>
      <c r="L12" s="26">
        <f>779121-37742</f>
        <v>741379</v>
      </c>
      <c r="M12" s="26">
        <v>779122</v>
      </c>
      <c r="N12" s="27">
        <f t="shared" si="0"/>
        <v>9453483</v>
      </c>
      <c r="P12" s="22">
        <f t="shared" si="1"/>
        <v>-9453483</v>
      </c>
    </row>
    <row r="13" spans="1:16" ht="14.25" customHeight="1">
      <c r="A13" s="25" t="s">
        <v>25</v>
      </c>
      <c r="B13" s="26">
        <v>5400</v>
      </c>
      <c r="C13" s="26">
        <v>3600</v>
      </c>
      <c r="D13" s="26">
        <v>4000</v>
      </c>
      <c r="E13" s="26">
        <v>150000</v>
      </c>
      <c r="F13" s="26">
        <f>18000</f>
        <v>18000</v>
      </c>
      <c r="G13" s="26">
        <v>22000</v>
      </c>
      <c r="H13" s="26">
        <v>28000</v>
      </c>
      <c r="I13" s="26">
        <v>18000</v>
      </c>
      <c r="J13" s="26">
        <f>150000+26154</f>
        <v>176154</v>
      </c>
      <c r="K13" s="26">
        <f>10000+3000</f>
        <v>13000</v>
      </c>
      <c r="L13" s="26">
        <f>18000+440037</f>
        <v>458037</v>
      </c>
      <c r="M13" s="26">
        <v>28000</v>
      </c>
      <c r="N13" s="27">
        <f t="shared" si="0"/>
        <v>924191</v>
      </c>
      <c r="P13" s="22">
        <f t="shared" si="1"/>
        <v>-924191</v>
      </c>
    </row>
    <row r="14" spans="1:16" ht="14.25" customHeight="1">
      <c r="A14" s="25" t="s">
        <v>26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f t="shared" si="0"/>
        <v>0</v>
      </c>
      <c r="P14" s="22">
        <f t="shared" si="1"/>
        <v>0</v>
      </c>
    </row>
    <row r="15" spans="1:16" ht="14.25" customHeight="1">
      <c r="A15" s="28" t="s">
        <v>27</v>
      </c>
      <c r="B15" s="26">
        <v>2450</v>
      </c>
      <c r="C15" s="26">
        <v>2450</v>
      </c>
      <c r="D15" s="26">
        <v>2450</v>
      </c>
      <c r="E15" s="26">
        <v>2450</v>
      </c>
      <c r="F15" s="26">
        <v>2500</v>
      </c>
      <c r="G15" s="26">
        <v>2500</v>
      </c>
      <c r="H15" s="26">
        <v>2500</v>
      </c>
      <c r="I15" s="26">
        <v>2500</v>
      </c>
      <c r="J15" s="26">
        <v>2550</v>
      </c>
      <c r="K15" s="26">
        <v>2550</v>
      </c>
      <c r="L15" s="26">
        <v>2550</v>
      </c>
      <c r="M15" s="26">
        <v>2550</v>
      </c>
      <c r="N15" s="27">
        <f t="shared" si="0"/>
        <v>30000</v>
      </c>
      <c r="P15" s="22">
        <f t="shared" si="1"/>
        <v>-30000</v>
      </c>
    </row>
    <row r="16" spans="1:16" ht="14.25" customHeight="1">
      <c r="A16" s="28" t="s">
        <v>28</v>
      </c>
      <c r="B16" s="26">
        <v>88000</v>
      </c>
      <c r="C16" s="26">
        <v>79000</v>
      </c>
      <c r="D16" s="26">
        <v>70000</v>
      </c>
      <c r="E16" s="26">
        <v>59000</v>
      </c>
      <c r="F16" s="26">
        <f>59000+291892</f>
        <v>350892</v>
      </c>
      <c r="G16" s="26">
        <v>45000</v>
      </c>
      <c r="H16" s="26">
        <v>45000</v>
      </c>
      <c r="I16" s="26">
        <v>45000</v>
      </c>
      <c r="J16" s="26">
        <f>45285+82983</f>
        <v>128268</v>
      </c>
      <c r="K16" s="26">
        <v>56000</v>
      </c>
      <c r="L16" s="26">
        <v>60000</v>
      </c>
      <c r="M16" s="26">
        <v>64000</v>
      </c>
      <c r="N16" s="27">
        <f t="shared" si="0"/>
        <v>1090160</v>
      </c>
      <c r="P16" s="22">
        <f t="shared" si="1"/>
        <v>-1090160</v>
      </c>
    </row>
    <row r="17" spans="1:16" ht="14.25" customHeight="1">
      <c r="A17" s="28" t="s">
        <v>29</v>
      </c>
      <c r="B17" s="26">
        <v>128000</v>
      </c>
      <c r="C17" s="26">
        <v>185800</v>
      </c>
      <c r="D17" s="26">
        <v>255000</v>
      </c>
      <c r="E17" s="26">
        <v>346000</v>
      </c>
      <c r="F17" s="26">
        <f>300000+8703487</f>
        <v>9003487</v>
      </c>
      <c r="G17" s="26">
        <v>359000</v>
      </c>
      <c r="H17" s="26">
        <v>388000</v>
      </c>
      <c r="I17" s="26">
        <v>301000</v>
      </c>
      <c r="J17" s="26">
        <f>318000+63449</f>
        <v>381449</v>
      </c>
      <c r="K17" s="26">
        <v>268000</v>
      </c>
      <c r="L17" s="26">
        <v>250000</v>
      </c>
      <c r="M17" s="26">
        <v>157552</v>
      </c>
      <c r="N17" s="27">
        <f t="shared" si="0"/>
        <v>12023288</v>
      </c>
      <c r="P17" s="22">
        <f t="shared" si="1"/>
        <v>-12023288</v>
      </c>
    </row>
    <row r="18" spans="1:16" ht="14.25" customHeight="1">
      <c r="A18" s="28" t="s">
        <v>30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f t="shared" si="0"/>
        <v>0</v>
      </c>
      <c r="P18" s="22">
        <f t="shared" si="1"/>
        <v>0</v>
      </c>
    </row>
    <row r="19" spans="1:16" ht="14.25" customHeight="1">
      <c r="A19" s="28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f t="shared" si="0"/>
        <v>0</v>
      </c>
      <c r="P19" s="22">
        <f t="shared" si="1"/>
        <v>0</v>
      </c>
    </row>
    <row r="20" spans="1:16" ht="14.25" customHeight="1" thickBot="1">
      <c r="A20" s="35" t="s">
        <v>32</v>
      </c>
      <c r="B20" s="26">
        <f>-B9</f>
        <v>-533806</v>
      </c>
      <c r="C20" s="26">
        <f>-C9</f>
        <v>-483807</v>
      </c>
      <c r="D20" s="26">
        <f>-D9</f>
        <v>-483806</v>
      </c>
      <c r="E20" s="26">
        <f>-E9</f>
        <v>-483807</v>
      </c>
      <c r="F20" s="26">
        <f>-F9-F10</f>
        <v>-825420</v>
      </c>
      <c r="G20" s="26">
        <f aca="true" t="shared" si="2" ref="G20:M20">-G9</f>
        <v>-483807</v>
      </c>
      <c r="H20" s="26">
        <f>-H9-H10</f>
        <v>-508806</v>
      </c>
      <c r="I20" s="26">
        <f t="shared" si="2"/>
        <v>-483807</v>
      </c>
      <c r="J20" s="26">
        <f>-J9-J10</f>
        <v>-1150825</v>
      </c>
      <c r="K20" s="26">
        <f>-K9-K10</f>
        <v>-492802</v>
      </c>
      <c r="L20" s="26">
        <f>-L9-L10</f>
        <v>-499513</v>
      </c>
      <c r="M20" s="26">
        <f t="shared" si="2"/>
        <v>-483807</v>
      </c>
      <c r="N20" s="27">
        <f t="shared" si="0"/>
        <v>-6914013</v>
      </c>
      <c r="P20" s="22">
        <f t="shared" si="1"/>
        <v>6914013</v>
      </c>
    </row>
    <row r="21" spans="1:14" ht="15.75" customHeight="1" thickBot="1">
      <c r="A21" s="2" t="s">
        <v>33</v>
      </c>
      <c r="B21" s="11">
        <f aca="true" t="shared" si="3" ref="B21:N21">SUM(B5:B20)</f>
        <v>1886509</v>
      </c>
      <c r="C21" s="11">
        <f t="shared" si="3"/>
        <v>1935610</v>
      </c>
      <c r="D21" s="11">
        <f t="shared" si="3"/>
        <v>2016209</v>
      </c>
      <c r="E21" s="11">
        <f t="shared" si="3"/>
        <v>2259922</v>
      </c>
      <c r="F21" s="11">
        <f t="shared" si="3"/>
        <v>11291238</v>
      </c>
      <c r="G21" s="11">
        <f t="shared" si="3"/>
        <v>2135460</v>
      </c>
      <c r="H21" s="11">
        <f t="shared" si="3"/>
        <v>2126609</v>
      </c>
      <c r="I21" s="11">
        <f t="shared" si="3"/>
        <v>2061039</v>
      </c>
      <c r="J21" s="11">
        <f t="shared" si="3"/>
        <v>3499958</v>
      </c>
      <c r="K21" s="11">
        <f t="shared" si="3"/>
        <v>2069509</v>
      </c>
      <c r="L21" s="11">
        <f t="shared" si="3"/>
        <v>2422648</v>
      </c>
      <c r="M21" s="11">
        <f t="shared" si="3"/>
        <v>1946712</v>
      </c>
      <c r="N21" s="16">
        <f t="shared" si="3"/>
        <v>35651423</v>
      </c>
    </row>
    <row r="22" spans="1:14" ht="18.75">
      <c r="A22" s="8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6" ht="14.25" customHeight="1">
      <c r="A23" s="25" t="s">
        <v>35</v>
      </c>
      <c r="B23" s="26">
        <v>835000</v>
      </c>
      <c r="C23" s="26">
        <v>698000</v>
      </c>
      <c r="D23" s="26">
        <v>698000</v>
      </c>
      <c r="E23" s="26">
        <v>750000</v>
      </c>
      <c r="F23" s="26">
        <f>698000+95428</f>
        <v>793428</v>
      </c>
      <c r="G23" s="26">
        <v>750000</v>
      </c>
      <c r="H23" s="26">
        <v>700000</v>
      </c>
      <c r="I23" s="26">
        <v>700000</v>
      </c>
      <c r="J23" s="26">
        <f>750000+441335</f>
        <v>1191335</v>
      </c>
      <c r="K23" s="26">
        <f>700000-7372</f>
        <v>692628</v>
      </c>
      <c r="L23" s="26">
        <f>800000-11899</f>
        <v>788101</v>
      </c>
      <c r="M23" s="26">
        <v>735608</v>
      </c>
      <c r="N23" s="27">
        <f aca="true" t="shared" si="4" ref="N23:N37">SUM(B23:M23)</f>
        <v>9332100</v>
      </c>
      <c r="P23" s="22">
        <f aca="true" t="shared" si="5" ref="P23:P37">+O23-N23</f>
        <v>-9332100</v>
      </c>
    </row>
    <row r="24" spans="1:16" ht="14.25" customHeight="1">
      <c r="A24" s="28" t="s">
        <v>36</v>
      </c>
      <c r="B24" s="26">
        <v>251996</v>
      </c>
      <c r="C24" s="26">
        <v>208747</v>
      </c>
      <c r="D24" s="26">
        <v>208746</v>
      </c>
      <c r="E24" s="26">
        <v>224747</v>
      </c>
      <c r="F24" s="26">
        <f>208746+27488</f>
        <v>236234</v>
      </c>
      <c r="G24" s="26">
        <v>224947</v>
      </c>
      <c r="H24" s="26">
        <v>209996</v>
      </c>
      <c r="I24" s="26">
        <v>209996</v>
      </c>
      <c r="J24" s="26">
        <f>224247+153231</f>
        <v>377478</v>
      </c>
      <c r="K24" s="26">
        <f>209296-2359</f>
        <v>206937</v>
      </c>
      <c r="L24" s="26">
        <f>239135-1439</f>
        <v>237696</v>
      </c>
      <c r="M24" s="26">
        <v>219940</v>
      </c>
      <c r="N24" s="27">
        <f t="shared" si="4"/>
        <v>2817460</v>
      </c>
      <c r="P24" s="22">
        <f t="shared" si="5"/>
        <v>-2817460</v>
      </c>
    </row>
    <row r="25" spans="1:16" ht="14.25" customHeight="1">
      <c r="A25" s="28" t="s">
        <v>37</v>
      </c>
      <c r="B25" s="26">
        <f>925195+50000</f>
        <v>975195</v>
      </c>
      <c r="C25" s="26">
        <v>925195</v>
      </c>
      <c r="D25" s="26">
        <v>840000</v>
      </c>
      <c r="E25" s="26">
        <v>640180</v>
      </c>
      <c r="F25" s="26">
        <f>474200+239274</f>
        <v>713474</v>
      </c>
      <c r="G25" s="26">
        <v>394200</v>
      </c>
      <c r="H25" s="26">
        <v>324150</v>
      </c>
      <c r="I25" s="26">
        <v>374200</v>
      </c>
      <c r="J25" s="26">
        <f>575014+445134</f>
        <v>1020148</v>
      </c>
      <c r="K25" s="26">
        <f>750600-1312</f>
        <v>749288</v>
      </c>
      <c r="L25" s="26">
        <f>820145-58809</f>
        <v>761336</v>
      </c>
      <c r="M25" s="26">
        <v>863680</v>
      </c>
      <c r="N25" s="27">
        <f t="shared" si="4"/>
        <v>8581046</v>
      </c>
      <c r="P25" s="22">
        <f t="shared" si="5"/>
        <v>-8581046</v>
      </c>
    </row>
    <row r="26" spans="1:16" ht="14.25" customHeight="1">
      <c r="A26" s="25" t="s">
        <v>38</v>
      </c>
      <c r="B26" s="26">
        <v>0</v>
      </c>
      <c r="C26" s="26">
        <v>0</v>
      </c>
      <c r="D26" s="26">
        <v>0</v>
      </c>
      <c r="E26" s="26">
        <v>1000</v>
      </c>
      <c r="F26" s="26">
        <v>0</v>
      </c>
      <c r="G26" s="26">
        <v>0</v>
      </c>
      <c r="H26" s="26">
        <v>0</v>
      </c>
      <c r="I26" s="26">
        <v>0</v>
      </c>
      <c r="J26" s="26">
        <f>1000+7790</f>
        <v>8790</v>
      </c>
      <c r="K26" s="26">
        <v>0</v>
      </c>
      <c r="L26" s="26">
        <v>961</v>
      </c>
      <c r="M26" s="26">
        <v>0</v>
      </c>
      <c r="N26" s="27">
        <f t="shared" si="4"/>
        <v>10751</v>
      </c>
      <c r="P26" s="22">
        <f t="shared" si="5"/>
        <v>-10751</v>
      </c>
    </row>
    <row r="27" spans="1:16" ht="14.25" customHeight="1">
      <c r="A27" s="25" t="s">
        <v>39</v>
      </c>
      <c r="B27" s="26">
        <v>0</v>
      </c>
      <c r="C27" s="26">
        <v>0</v>
      </c>
      <c r="D27" s="26">
        <v>50000</v>
      </c>
      <c r="E27" s="26">
        <v>0</v>
      </c>
      <c r="F27" s="26">
        <v>50000</v>
      </c>
      <c r="G27" s="26">
        <v>7000</v>
      </c>
      <c r="H27" s="26">
        <v>8000</v>
      </c>
      <c r="I27" s="26">
        <v>100000</v>
      </c>
      <c r="J27" s="26">
        <f>50000+10000</f>
        <v>60000</v>
      </c>
      <c r="K27" s="26">
        <v>0</v>
      </c>
      <c r="L27" s="26">
        <v>50000</v>
      </c>
      <c r="M27" s="26">
        <v>0</v>
      </c>
      <c r="N27" s="27">
        <f t="shared" si="4"/>
        <v>325000</v>
      </c>
      <c r="P27" s="22">
        <f t="shared" si="5"/>
        <v>-325000</v>
      </c>
    </row>
    <row r="28" spans="1:16" ht="14.25" customHeight="1">
      <c r="A28" s="25" t="s">
        <v>40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f t="shared" si="4"/>
        <v>0</v>
      </c>
      <c r="P28" s="22">
        <f t="shared" si="5"/>
        <v>0</v>
      </c>
    </row>
    <row r="29" spans="1:16" ht="14.25" customHeight="1">
      <c r="A29" s="25" t="s">
        <v>41</v>
      </c>
      <c r="B29" s="26">
        <v>0</v>
      </c>
      <c r="C29" s="26">
        <v>0</v>
      </c>
      <c r="D29" s="26">
        <v>0</v>
      </c>
      <c r="E29" s="26">
        <v>3000</v>
      </c>
      <c r="F29" s="26">
        <f>25000+127854</f>
        <v>152854</v>
      </c>
      <c r="G29" s="26">
        <v>4000</v>
      </c>
      <c r="H29" s="26">
        <v>40000</v>
      </c>
      <c r="I29" s="26">
        <v>3500</v>
      </c>
      <c r="J29" s="26">
        <f>8000+30249</f>
        <v>38249</v>
      </c>
      <c r="K29" s="26">
        <f>9964+72148</f>
        <v>82112</v>
      </c>
      <c r="L29" s="26">
        <f>18000+3000</f>
        <v>21000</v>
      </c>
      <c r="M29" s="26">
        <v>8000</v>
      </c>
      <c r="N29" s="27">
        <f t="shared" si="4"/>
        <v>352715</v>
      </c>
      <c r="P29" s="22">
        <f t="shared" si="5"/>
        <v>-352715</v>
      </c>
    </row>
    <row r="30" spans="1:16" ht="14.25" customHeight="1">
      <c r="A30" s="25" t="s">
        <v>42</v>
      </c>
      <c r="B30" s="26">
        <v>0</v>
      </c>
      <c r="C30" s="26">
        <v>0</v>
      </c>
      <c r="D30" s="26">
        <v>0</v>
      </c>
      <c r="E30" s="26">
        <v>0</v>
      </c>
      <c r="F30" s="26">
        <f>43790</f>
        <v>43790</v>
      </c>
      <c r="G30" s="26">
        <v>0</v>
      </c>
      <c r="H30" s="26">
        <v>0</v>
      </c>
      <c r="I30" s="26">
        <v>0</v>
      </c>
      <c r="J30" s="26">
        <f>23000</f>
        <v>23000</v>
      </c>
      <c r="K30" s="26">
        <v>0</v>
      </c>
      <c r="L30" s="26">
        <v>0</v>
      </c>
      <c r="M30" s="26">
        <v>0</v>
      </c>
      <c r="N30" s="27">
        <f t="shared" si="4"/>
        <v>66790</v>
      </c>
      <c r="P30" s="22">
        <f t="shared" si="5"/>
        <v>-66790</v>
      </c>
    </row>
    <row r="31" spans="1:16" ht="14.25" customHeight="1">
      <c r="A31" s="28" t="s">
        <v>43</v>
      </c>
      <c r="B31" s="26">
        <v>21040</v>
      </c>
      <c r="C31" s="26">
        <v>21040</v>
      </c>
      <c r="D31" s="26">
        <v>21040</v>
      </c>
      <c r="E31" s="26">
        <v>21040</v>
      </c>
      <c r="F31" s="26">
        <f>21040+329</f>
        <v>21369</v>
      </c>
      <c r="G31" s="26">
        <v>21040</v>
      </c>
      <c r="H31" s="26">
        <v>21000</v>
      </c>
      <c r="I31" s="26">
        <v>21000</v>
      </c>
      <c r="J31" s="26">
        <f>21050+10190</f>
        <v>31240</v>
      </c>
      <c r="K31" s="26">
        <v>21050</v>
      </c>
      <c r="L31" s="26">
        <v>21112</v>
      </c>
      <c r="M31" s="26">
        <v>21050</v>
      </c>
      <c r="N31" s="27">
        <f t="shared" si="4"/>
        <v>263021</v>
      </c>
      <c r="P31" s="22">
        <f t="shared" si="5"/>
        <v>-263021</v>
      </c>
    </row>
    <row r="32" spans="1:16" ht="14.25" customHeight="1">
      <c r="A32" s="28" t="s">
        <v>44</v>
      </c>
      <c r="B32" s="26">
        <v>3000</v>
      </c>
      <c r="C32" s="26">
        <v>5800</v>
      </c>
      <c r="D32" s="26">
        <v>25000</v>
      </c>
      <c r="E32" s="26">
        <v>25000</v>
      </c>
      <c r="F32" s="26">
        <f>35000+16796</f>
        <v>51796</v>
      </c>
      <c r="G32" s="26">
        <v>28000</v>
      </c>
      <c r="H32" s="26">
        <v>55000</v>
      </c>
      <c r="I32" s="26">
        <v>65000</v>
      </c>
      <c r="J32" s="26">
        <f>72217+64839</f>
        <v>137056</v>
      </c>
      <c r="K32" s="26">
        <f>76160-93</f>
        <v>76067</v>
      </c>
      <c r="L32" s="26">
        <f>38000+351000</f>
        <v>389000</v>
      </c>
      <c r="M32" s="26">
        <v>8000</v>
      </c>
      <c r="N32" s="27">
        <f t="shared" si="4"/>
        <v>868719</v>
      </c>
      <c r="P32" s="22">
        <f t="shared" si="5"/>
        <v>-868719</v>
      </c>
    </row>
    <row r="33" spans="1:16" ht="14.25" customHeight="1">
      <c r="A33" s="28" t="s">
        <v>45</v>
      </c>
      <c r="B33" s="26">
        <v>105000</v>
      </c>
      <c r="C33" s="26">
        <v>180000</v>
      </c>
      <c r="D33" s="26">
        <v>180000</v>
      </c>
      <c r="E33" s="26">
        <v>318000</v>
      </c>
      <c r="F33" s="26">
        <f>250000+1076057</f>
        <v>1326057</v>
      </c>
      <c r="G33" s="26">
        <v>420000</v>
      </c>
      <c r="H33" s="26">
        <f>440000+25000</f>
        <v>465000</v>
      </c>
      <c r="I33" s="26">
        <v>280000</v>
      </c>
      <c r="J33" s="26">
        <f>325422+685918</f>
        <v>1011340</v>
      </c>
      <c r="K33" s="26">
        <f>288000+53989</f>
        <v>341989</v>
      </c>
      <c r="L33" s="26">
        <f>268720+462329</f>
        <v>731049</v>
      </c>
      <c r="M33" s="26">
        <v>401000</v>
      </c>
      <c r="N33" s="27">
        <f t="shared" si="4"/>
        <v>5759435</v>
      </c>
      <c r="P33" s="22">
        <f t="shared" si="5"/>
        <v>-5759435</v>
      </c>
    </row>
    <row r="34" spans="1:16" ht="14.25" customHeight="1">
      <c r="A34" s="25" t="s">
        <v>46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f t="shared" si="4"/>
        <v>0</v>
      </c>
      <c r="P34" s="22">
        <f t="shared" si="5"/>
        <v>0</v>
      </c>
    </row>
    <row r="35" spans="1:16" ht="14.25" customHeight="1">
      <c r="A35" s="28" t="s">
        <v>47</v>
      </c>
      <c r="B35" s="26">
        <v>20000</v>
      </c>
      <c r="C35" s="26">
        <v>0</v>
      </c>
      <c r="D35" s="26">
        <v>0</v>
      </c>
      <c r="E35" s="26">
        <v>21000</v>
      </c>
      <c r="F35" s="26">
        <f>45000+7552084</f>
        <v>7597084</v>
      </c>
      <c r="G35" s="26">
        <v>42000</v>
      </c>
      <c r="H35" s="26">
        <f>150000-50000-25000</f>
        <v>75000</v>
      </c>
      <c r="I35" s="26">
        <v>140000</v>
      </c>
      <c r="J35" s="26">
        <f>120091-596303</f>
        <v>-476212</v>
      </c>
      <c r="K35" s="26">
        <f>95000-73001</f>
        <v>21999</v>
      </c>
      <c r="L35" s="26">
        <f>67000-350144</f>
        <v>-283144</v>
      </c>
      <c r="M35" s="26">
        <v>51000</v>
      </c>
      <c r="N35" s="27">
        <f t="shared" si="4"/>
        <v>7208727</v>
      </c>
      <c r="P35" s="22">
        <f t="shared" si="5"/>
        <v>-7208727</v>
      </c>
    </row>
    <row r="36" spans="1:16" ht="14.25" customHeight="1">
      <c r="A36" s="25" t="s">
        <v>48</v>
      </c>
      <c r="B36" s="26">
        <v>0</v>
      </c>
      <c r="C36" s="26">
        <v>0</v>
      </c>
      <c r="D36" s="26">
        <f>2550+2440+2640</f>
        <v>7630</v>
      </c>
      <c r="E36" s="26">
        <v>0</v>
      </c>
      <c r="F36" s="26">
        <f>33979</f>
        <v>33979</v>
      </c>
      <c r="G36" s="26">
        <v>7450</v>
      </c>
      <c r="H36" s="26">
        <v>0</v>
      </c>
      <c r="I36" s="26">
        <v>0</v>
      </c>
      <c r="J36" s="26">
        <v>7800</v>
      </c>
      <c r="K36" s="26">
        <v>0</v>
      </c>
      <c r="L36" s="26">
        <v>0</v>
      </c>
      <c r="M36" s="26">
        <v>8800</v>
      </c>
      <c r="N36" s="27">
        <f t="shared" si="4"/>
        <v>65659</v>
      </c>
      <c r="P36" s="22">
        <f t="shared" si="5"/>
        <v>-65659</v>
      </c>
    </row>
    <row r="37" spans="1:16" ht="14.25" customHeight="1" thickBot="1">
      <c r="A37" s="25" t="s">
        <v>49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f t="shared" si="4"/>
        <v>0</v>
      </c>
      <c r="P37" s="22">
        <f t="shared" si="5"/>
        <v>0</v>
      </c>
    </row>
    <row r="38" spans="1:14" ht="15.75" customHeight="1" thickBot="1">
      <c r="A38" s="2" t="s">
        <v>50</v>
      </c>
      <c r="B38" s="12">
        <f aca="true" t="shared" si="6" ref="B38:N38">SUM(B23:B37)</f>
        <v>2211231</v>
      </c>
      <c r="C38" s="12">
        <f t="shared" si="6"/>
        <v>2038782</v>
      </c>
      <c r="D38" s="12">
        <f t="shared" si="6"/>
        <v>2030416</v>
      </c>
      <c r="E38" s="12">
        <f t="shared" si="6"/>
        <v>2003967</v>
      </c>
      <c r="F38" s="12">
        <f t="shared" si="6"/>
        <v>11020065</v>
      </c>
      <c r="G38" s="12">
        <f t="shared" si="6"/>
        <v>1898637</v>
      </c>
      <c r="H38" s="12">
        <f t="shared" si="6"/>
        <v>1898146</v>
      </c>
      <c r="I38" s="12">
        <f t="shared" si="6"/>
        <v>1893696</v>
      </c>
      <c r="J38" s="12">
        <f t="shared" si="6"/>
        <v>3430224</v>
      </c>
      <c r="K38" s="12">
        <f t="shared" si="6"/>
        <v>2192070</v>
      </c>
      <c r="L38" s="12">
        <f t="shared" si="6"/>
        <v>2717111</v>
      </c>
      <c r="M38" s="12">
        <f t="shared" si="6"/>
        <v>2317078</v>
      </c>
      <c r="N38" s="16">
        <f t="shared" si="6"/>
        <v>35651423</v>
      </c>
    </row>
    <row r="40" spans="2:14" ht="12.75">
      <c r="B40" s="22"/>
      <c r="C40" s="22"/>
      <c r="D40" s="22"/>
      <c r="E40" s="22"/>
      <c r="F40" s="22"/>
      <c r="G40" s="22"/>
      <c r="H40" s="22"/>
      <c r="I40" s="22"/>
      <c r="J40" s="22"/>
      <c r="K40" s="37"/>
      <c r="L40" s="22"/>
      <c r="M40" s="22"/>
      <c r="N40" s="22"/>
    </row>
    <row r="42" spans="1:14" ht="12.75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4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rendelettervezet 9.sz.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28.00390625" style="0" customWidth="1"/>
    <col min="2" max="9" width="10.75390625" style="0" customWidth="1"/>
    <col min="10" max="11" width="10.75390625" style="17" customWidth="1"/>
    <col min="12" max="14" width="10.75390625" style="0" customWidth="1"/>
    <col min="15" max="15" width="12.625" style="3" customWidth="1"/>
    <col min="16" max="16" width="11.75390625" style="0" customWidth="1"/>
    <col min="17" max="17" width="12.00390625" style="0" customWidth="1"/>
    <col min="18" max="18" width="9.25390625" style="0" customWidth="1"/>
  </cols>
  <sheetData>
    <row r="1" spans="1:14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36"/>
      <c r="L1" s="19"/>
      <c r="M1" s="19"/>
      <c r="N1" s="19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0"/>
      <c r="N2" s="21" t="s">
        <v>1</v>
      </c>
    </row>
    <row r="3" spans="1:14" ht="19.5" customHeight="1" thickBo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4" t="s">
        <v>15</v>
      </c>
    </row>
    <row r="4" spans="1:14" ht="18.75">
      <c r="A4" s="6" t="s">
        <v>16</v>
      </c>
      <c r="B4" s="7"/>
      <c r="C4" s="7"/>
      <c r="D4" s="7"/>
      <c r="E4" s="7"/>
      <c r="F4" s="7"/>
      <c r="G4" s="7"/>
      <c r="H4" s="7"/>
      <c r="I4" s="7"/>
      <c r="J4" s="14"/>
      <c r="K4" s="14"/>
      <c r="L4" s="14"/>
      <c r="M4" s="14"/>
      <c r="N4" s="15"/>
    </row>
    <row r="5" spans="1:16" ht="14.25" customHeight="1">
      <c r="A5" s="25" t="s">
        <v>17</v>
      </c>
      <c r="B5" s="26">
        <v>295300</v>
      </c>
      <c r="C5" s="26">
        <v>299400</v>
      </c>
      <c r="D5" s="26">
        <v>299400</v>
      </c>
      <c r="E5" s="26">
        <v>293300</v>
      </c>
      <c r="F5" s="26">
        <f>293300+5910</f>
        <v>299210</v>
      </c>
      <c r="G5" s="26">
        <v>291600</v>
      </c>
      <c r="H5" s="26">
        <v>249000</v>
      </c>
      <c r="I5" s="26">
        <v>279180</v>
      </c>
      <c r="J5" s="26">
        <f>303380+394275</f>
        <v>697655</v>
      </c>
      <c r="K5" s="26">
        <v>290600</v>
      </c>
      <c r="L5" s="26">
        <f>297700+3756</f>
        <v>301456</v>
      </c>
      <c r="M5" s="26">
        <f>296250+293362-66639</f>
        <v>522973</v>
      </c>
      <c r="N5" s="27">
        <f aca="true" t="shared" si="0" ref="N5:N20">SUM(B5:M5)</f>
        <v>4119074</v>
      </c>
      <c r="O5" s="4"/>
      <c r="P5" s="22">
        <f aca="true" t="shared" si="1" ref="P5:P20">+O5-N5</f>
        <v>-4119074</v>
      </c>
    </row>
    <row r="6" spans="1:16" ht="14.25" customHeight="1">
      <c r="A6" s="28" t="s">
        <v>18</v>
      </c>
      <c r="B6" s="26">
        <v>200238</v>
      </c>
      <c r="C6" s="26">
        <v>200239</v>
      </c>
      <c r="D6" s="26">
        <v>200238</v>
      </c>
      <c r="E6" s="26">
        <v>200239</v>
      </c>
      <c r="F6" s="26">
        <v>200238</v>
      </c>
      <c r="G6" s="26">
        <v>200239</v>
      </c>
      <c r="H6" s="26">
        <v>200238</v>
      </c>
      <c r="I6" s="26">
        <v>200238</v>
      </c>
      <c r="J6" s="26">
        <f>200239+2262</f>
        <v>202501</v>
      </c>
      <c r="K6" s="26">
        <v>200238</v>
      </c>
      <c r="L6" s="26">
        <f>200239+9526</f>
        <v>209765</v>
      </c>
      <c r="M6" s="26">
        <f>200238</f>
        <v>200238</v>
      </c>
      <c r="N6" s="27">
        <f t="shared" si="0"/>
        <v>2414649</v>
      </c>
      <c r="P6" s="22">
        <f t="shared" si="1"/>
        <v>-2414649</v>
      </c>
    </row>
    <row r="7" spans="1:16" ht="14.25" customHeight="1">
      <c r="A7" s="28" t="s">
        <v>19</v>
      </c>
      <c r="B7" s="26">
        <v>10000</v>
      </c>
      <c r="C7" s="26">
        <v>10000</v>
      </c>
      <c r="D7" s="26">
        <v>30000</v>
      </c>
      <c r="E7" s="26">
        <v>50000</v>
      </c>
      <c r="F7" s="26">
        <f>50000+2743</f>
        <v>52743</v>
      </c>
      <c r="G7" s="26">
        <v>60000</v>
      </c>
      <c r="H7" s="26">
        <v>58750</v>
      </c>
      <c r="I7" s="26">
        <v>60000</v>
      </c>
      <c r="J7" s="26">
        <f>50000+41751</f>
        <v>91751</v>
      </c>
      <c r="K7" s="26">
        <v>45000</v>
      </c>
      <c r="L7" s="26">
        <f>45000-1749</f>
        <v>43251</v>
      </c>
      <c r="M7" s="26">
        <f>43000+141704</f>
        <v>184704</v>
      </c>
      <c r="N7" s="27">
        <f t="shared" si="0"/>
        <v>696199</v>
      </c>
      <c r="O7" s="4"/>
      <c r="P7" s="22">
        <f t="shared" si="1"/>
        <v>-696199</v>
      </c>
    </row>
    <row r="8" spans="1:16" ht="14.25" customHeight="1">
      <c r="A8" s="28" t="s">
        <v>20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si="0"/>
        <v>0</v>
      </c>
      <c r="O8" s="5"/>
      <c r="P8" s="22">
        <f t="shared" si="1"/>
        <v>0</v>
      </c>
    </row>
    <row r="9" spans="1:16" ht="14.25" customHeight="1">
      <c r="A9" s="28" t="s">
        <v>21</v>
      </c>
      <c r="B9" s="26">
        <f>483806+50000</f>
        <v>533806</v>
      </c>
      <c r="C9" s="26">
        <v>483807</v>
      </c>
      <c r="D9" s="26">
        <v>483806</v>
      </c>
      <c r="E9" s="26">
        <v>483807</v>
      </c>
      <c r="F9" s="26">
        <f>483806+230228</f>
        <v>714034</v>
      </c>
      <c r="G9" s="26">
        <v>483807</v>
      </c>
      <c r="H9" s="26">
        <v>483806</v>
      </c>
      <c r="I9" s="26">
        <v>483807</v>
      </c>
      <c r="J9" s="26">
        <f>483806+570167</f>
        <v>1053973</v>
      </c>
      <c r="K9" s="26">
        <f>483807-11043</f>
        <v>472764</v>
      </c>
      <c r="L9" s="26">
        <f>483807+3120</f>
        <v>486927</v>
      </c>
      <c r="M9" s="26">
        <f>483807+188581</f>
        <v>672388</v>
      </c>
      <c r="N9" s="27">
        <f t="shared" si="0"/>
        <v>6836732</v>
      </c>
      <c r="P9" s="22">
        <f t="shared" si="1"/>
        <v>-6836732</v>
      </c>
    </row>
    <row r="10" spans="1:16" ht="14.25" customHeight="1">
      <c r="A10" s="28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f>111386</f>
        <v>111386</v>
      </c>
      <c r="G10" s="26">
        <v>0</v>
      </c>
      <c r="H10" s="26">
        <v>25000</v>
      </c>
      <c r="I10" s="26">
        <v>0</v>
      </c>
      <c r="J10" s="26">
        <v>96852</v>
      </c>
      <c r="K10" s="26">
        <v>20038</v>
      </c>
      <c r="L10" s="26">
        <v>12586</v>
      </c>
      <c r="M10" s="26">
        <v>28040</v>
      </c>
      <c r="N10" s="27">
        <f t="shared" si="0"/>
        <v>293902</v>
      </c>
      <c r="P10" s="22">
        <f t="shared" si="1"/>
        <v>-293902</v>
      </c>
    </row>
    <row r="11" spans="1:16" ht="14.25" customHeight="1">
      <c r="A11" s="28" t="s">
        <v>23</v>
      </c>
      <c r="B11" s="26">
        <v>378000</v>
      </c>
      <c r="C11" s="26">
        <v>376000</v>
      </c>
      <c r="D11" s="26">
        <v>376000</v>
      </c>
      <c r="E11" s="26">
        <v>379812</v>
      </c>
      <c r="F11" s="26">
        <f>376000+185462</f>
        <v>561462</v>
      </c>
      <c r="G11" s="26">
        <v>376000</v>
      </c>
      <c r="H11" s="26">
        <v>376000</v>
      </c>
      <c r="I11" s="26">
        <v>376000</v>
      </c>
      <c r="J11" s="26">
        <f>376000+546322</f>
        <v>922322</v>
      </c>
      <c r="K11" s="26">
        <f>376000+39000</f>
        <v>415000</v>
      </c>
      <c r="L11" s="26">
        <f>376000-19790</f>
        <v>356210</v>
      </c>
      <c r="M11" s="26">
        <f>376000+37794</f>
        <v>413794</v>
      </c>
      <c r="N11" s="27">
        <f t="shared" si="0"/>
        <v>5306600</v>
      </c>
      <c r="P11" s="22">
        <f t="shared" si="1"/>
        <v>-5306600</v>
      </c>
    </row>
    <row r="12" spans="1:16" ht="14.25" customHeight="1">
      <c r="A12" s="25" t="s">
        <v>24</v>
      </c>
      <c r="B12" s="26">
        <v>779121</v>
      </c>
      <c r="C12" s="26">
        <v>779121</v>
      </c>
      <c r="D12" s="26">
        <v>779121</v>
      </c>
      <c r="E12" s="26">
        <v>779121</v>
      </c>
      <c r="F12" s="26">
        <f>779121+23585</f>
        <v>802706</v>
      </c>
      <c r="G12" s="26">
        <v>779121</v>
      </c>
      <c r="H12" s="26">
        <v>779121</v>
      </c>
      <c r="I12" s="26">
        <v>779121</v>
      </c>
      <c r="J12" s="26">
        <f>779121+118187</f>
        <v>897308</v>
      </c>
      <c r="K12" s="26">
        <v>779121</v>
      </c>
      <c r="L12" s="26">
        <f>779121-37742</f>
        <v>741379</v>
      </c>
      <c r="M12" s="26">
        <f>779122+108681</f>
        <v>887803</v>
      </c>
      <c r="N12" s="27">
        <f t="shared" si="0"/>
        <v>9562164</v>
      </c>
      <c r="P12" s="22">
        <f t="shared" si="1"/>
        <v>-9562164</v>
      </c>
    </row>
    <row r="13" spans="1:16" ht="14.25" customHeight="1">
      <c r="A13" s="25" t="s">
        <v>25</v>
      </c>
      <c r="B13" s="26">
        <v>5400</v>
      </c>
      <c r="C13" s="26">
        <v>3600</v>
      </c>
      <c r="D13" s="26">
        <v>4000</v>
      </c>
      <c r="E13" s="26">
        <v>150000</v>
      </c>
      <c r="F13" s="26">
        <f>18000</f>
        <v>18000</v>
      </c>
      <c r="G13" s="26">
        <v>22000</v>
      </c>
      <c r="H13" s="26">
        <v>28000</v>
      </c>
      <c r="I13" s="26">
        <v>18000</v>
      </c>
      <c r="J13" s="26">
        <f>150000+26154</f>
        <v>176154</v>
      </c>
      <c r="K13" s="26">
        <f>10000+3000</f>
        <v>13000</v>
      </c>
      <c r="L13" s="26">
        <f>18000+440037</f>
        <v>458037</v>
      </c>
      <c r="M13" s="26">
        <f>28000-137178</f>
        <v>-109178</v>
      </c>
      <c r="N13" s="27">
        <f t="shared" si="0"/>
        <v>787013</v>
      </c>
      <c r="P13" s="22">
        <f t="shared" si="1"/>
        <v>-787013</v>
      </c>
    </row>
    <row r="14" spans="1:16" ht="14.25" customHeight="1">
      <c r="A14" s="25" t="s">
        <v>26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f t="shared" si="0"/>
        <v>0</v>
      </c>
      <c r="P14" s="22">
        <f t="shared" si="1"/>
        <v>0</v>
      </c>
    </row>
    <row r="15" spans="1:16" ht="14.25" customHeight="1">
      <c r="A15" s="28" t="s">
        <v>27</v>
      </c>
      <c r="B15" s="26">
        <v>2450</v>
      </c>
      <c r="C15" s="26">
        <v>2450</v>
      </c>
      <c r="D15" s="26">
        <v>2450</v>
      </c>
      <c r="E15" s="26">
        <v>2450</v>
      </c>
      <c r="F15" s="26">
        <v>2500</v>
      </c>
      <c r="G15" s="26">
        <v>2500</v>
      </c>
      <c r="H15" s="26">
        <v>2500</v>
      </c>
      <c r="I15" s="26">
        <v>2500</v>
      </c>
      <c r="J15" s="26">
        <v>2550</v>
      </c>
      <c r="K15" s="26">
        <v>2550</v>
      </c>
      <c r="L15" s="26">
        <v>2550</v>
      </c>
      <c r="M15" s="26">
        <v>2550</v>
      </c>
      <c r="N15" s="27">
        <f t="shared" si="0"/>
        <v>30000</v>
      </c>
      <c r="P15" s="22">
        <f t="shared" si="1"/>
        <v>-30000</v>
      </c>
    </row>
    <row r="16" spans="1:16" ht="14.25" customHeight="1">
      <c r="A16" s="28" t="s">
        <v>28</v>
      </c>
      <c r="B16" s="26">
        <v>88000</v>
      </c>
      <c r="C16" s="26">
        <v>79000</v>
      </c>
      <c r="D16" s="26">
        <v>70000</v>
      </c>
      <c r="E16" s="26">
        <v>59000</v>
      </c>
      <c r="F16" s="26">
        <f>59000+291892</f>
        <v>350892</v>
      </c>
      <c r="G16" s="26">
        <v>45000</v>
      </c>
      <c r="H16" s="26">
        <v>45000</v>
      </c>
      <c r="I16" s="26">
        <v>45000</v>
      </c>
      <c r="J16" s="26">
        <f>45285+82983</f>
        <v>128268</v>
      </c>
      <c r="K16" s="26">
        <v>56000</v>
      </c>
      <c r="L16" s="26">
        <v>60000</v>
      </c>
      <c r="M16" s="26">
        <v>64000</v>
      </c>
      <c r="N16" s="27">
        <f t="shared" si="0"/>
        <v>1090160</v>
      </c>
      <c r="P16" s="22">
        <f t="shared" si="1"/>
        <v>-1090160</v>
      </c>
    </row>
    <row r="17" spans="1:16" ht="14.25" customHeight="1">
      <c r="A17" s="28" t="s">
        <v>29</v>
      </c>
      <c r="B17" s="26">
        <v>128000</v>
      </c>
      <c r="C17" s="26">
        <v>185800</v>
      </c>
      <c r="D17" s="26">
        <v>255000</v>
      </c>
      <c r="E17" s="26">
        <v>346000</v>
      </c>
      <c r="F17" s="26">
        <f>300000+8703487</f>
        <v>9003487</v>
      </c>
      <c r="G17" s="26">
        <v>359000</v>
      </c>
      <c r="H17" s="26">
        <v>388000</v>
      </c>
      <c r="I17" s="26">
        <v>301000</v>
      </c>
      <c r="J17" s="26">
        <f>318000+63449</f>
        <v>381449</v>
      </c>
      <c r="K17" s="26">
        <v>268000</v>
      </c>
      <c r="L17" s="26">
        <v>250000</v>
      </c>
      <c r="M17" s="26">
        <v>157552</v>
      </c>
      <c r="N17" s="27">
        <f t="shared" si="0"/>
        <v>12023288</v>
      </c>
      <c r="P17" s="22">
        <f t="shared" si="1"/>
        <v>-12023288</v>
      </c>
    </row>
    <row r="18" spans="1:16" ht="14.25" customHeight="1">
      <c r="A18" s="28" t="s">
        <v>30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f t="shared" si="0"/>
        <v>0</v>
      </c>
      <c r="P18" s="22">
        <f t="shared" si="1"/>
        <v>0</v>
      </c>
    </row>
    <row r="19" spans="1:16" ht="14.25" customHeight="1">
      <c r="A19" s="28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f t="shared" si="0"/>
        <v>0</v>
      </c>
      <c r="P19" s="22">
        <f t="shared" si="1"/>
        <v>0</v>
      </c>
    </row>
    <row r="20" spans="1:16" ht="14.25" customHeight="1" thickBot="1">
      <c r="A20" s="35" t="s">
        <v>32</v>
      </c>
      <c r="B20" s="26">
        <f>-B9</f>
        <v>-533806</v>
      </c>
      <c r="C20" s="26">
        <f>-C9</f>
        <v>-483807</v>
      </c>
      <c r="D20" s="26">
        <f>-D9</f>
        <v>-483806</v>
      </c>
      <c r="E20" s="26">
        <f>-E9</f>
        <v>-483807</v>
      </c>
      <c r="F20" s="26">
        <f>-F9-F10</f>
        <v>-825420</v>
      </c>
      <c r="G20" s="26">
        <f>-G9</f>
        <v>-483807</v>
      </c>
      <c r="H20" s="26">
        <f>-H9-H10</f>
        <v>-508806</v>
      </c>
      <c r="I20" s="26">
        <f>-I9</f>
        <v>-483807</v>
      </c>
      <c r="J20" s="26">
        <f>-J9-J10</f>
        <v>-1150825</v>
      </c>
      <c r="K20" s="26">
        <f>-K9-K10</f>
        <v>-492802</v>
      </c>
      <c r="L20" s="26">
        <f>-L9-L10</f>
        <v>-499513</v>
      </c>
      <c r="M20" s="26">
        <f>-M9-M10</f>
        <v>-700428</v>
      </c>
      <c r="N20" s="27">
        <f t="shared" si="0"/>
        <v>-7130634</v>
      </c>
      <c r="P20" s="22">
        <f t="shared" si="1"/>
        <v>7130634</v>
      </c>
    </row>
    <row r="21" spans="1:14" ht="15.75" customHeight="1" thickBot="1">
      <c r="A21" s="2" t="s">
        <v>33</v>
      </c>
      <c r="B21" s="11">
        <f aca="true" t="shared" si="2" ref="B21:N21">SUM(B5:B20)</f>
        <v>1886509</v>
      </c>
      <c r="C21" s="11">
        <f t="shared" si="2"/>
        <v>1935610</v>
      </c>
      <c r="D21" s="11">
        <f t="shared" si="2"/>
        <v>2016209</v>
      </c>
      <c r="E21" s="11">
        <f t="shared" si="2"/>
        <v>2259922</v>
      </c>
      <c r="F21" s="11">
        <f t="shared" si="2"/>
        <v>11291238</v>
      </c>
      <c r="G21" s="11">
        <f t="shared" si="2"/>
        <v>2135460</v>
      </c>
      <c r="H21" s="11">
        <f t="shared" si="2"/>
        <v>2126609</v>
      </c>
      <c r="I21" s="11">
        <f t="shared" si="2"/>
        <v>2061039</v>
      </c>
      <c r="J21" s="11">
        <f t="shared" si="2"/>
        <v>3499958</v>
      </c>
      <c r="K21" s="11">
        <f t="shared" si="2"/>
        <v>2069509</v>
      </c>
      <c r="L21" s="11">
        <f t="shared" si="2"/>
        <v>2422648</v>
      </c>
      <c r="M21" s="11">
        <f t="shared" si="2"/>
        <v>2324436</v>
      </c>
      <c r="N21" s="16">
        <f t="shared" si="2"/>
        <v>36029147</v>
      </c>
    </row>
    <row r="22" spans="1:14" ht="18.75">
      <c r="A22" s="8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6" ht="14.25" customHeight="1">
      <c r="A23" s="25" t="s">
        <v>35</v>
      </c>
      <c r="B23" s="26">
        <v>835000</v>
      </c>
      <c r="C23" s="26">
        <v>698000</v>
      </c>
      <c r="D23" s="26">
        <v>698000</v>
      </c>
      <c r="E23" s="26">
        <v>750000</v>
      </c>
      <c r="F23" s="26">
        <f>698000+95428</f>
        <v>793428</v>
      </c>
      <c r="G23" s="26">
        <v>750000</v>
      </c>
      <c r="H23" s="26">
        <v>700000</v>
      </c>
      <c r="I23" s="26">
        <v>700000</v>
      </c>
      <c r="J23" s="26">
        <f>750000+441335</f>
        <v>1191335</v>
      </c>
      <c r="K23" s="26">
        <f>700000-7372</f>
        <v>692628</v>
      </c>
      <c r="L23" s="26">
        <f>800000-11899</f>
        <v>788101</v>
      </c>
      <c r="M23" s="26">
        <f>735608+138596</f>
        <v>874204</v>
      </c>
      <c r="N23" s="27">
        <f aca="true" t="shared" si="3" ref="N23:N37">SUM(B23:M23)</f>
        <v>9470696</v>
      </c>
      <c r="P23" s="22">
        <f aca="true" t="shared" si="4" ref="P23:P37">+O23-N23</f>
        <v>-9470696</v>
      </c>
    </row>
    <row r="24" spans="1:16" ht="14.25" customHeight="1">
      <c r="A24" s="28" t="s">
        <v>36</v>
      </c>
      <c r="B24" s="26">
        <v>251996</v>
      </c>
      <c r="C24" s="26">
        <v>208747</v>
      </c>
      <c r="D24" s="26">
        <v>208746</v>
      </c>
      <c r="E24" s="26">
        <v>224747</v>
      </c>
      <c r="F24" s="26">
        <f>208746+27488</f>
        <v>236234</v>
      </c>
      <c r="G24" s="26">
        <v>224947</v>
      </c>
      <c r="H24" s="26">
        <v>209996</v>
      </c>
      <c r="I24" s="26">
        <v>209996</v>
      </c>
      <c r="J24" s="26">
        <f>224247+153231</f>
        <v>377478</v>
      </c>
      <c r="K24" s="26">
        <f>209296-2359</f>
        <v>206937</v>
      </c>
      <c r="L24" s="26">
        <f>239135-1439</f>
        <v>237696</v>
      </c>
      <c r="M24" s="26">
        <f>219940+19945</f>
        <v>239885</v>
      </c>
      <c r="N24" s="27">
        <f t="shared" si="3"/>
        <v>2837405</v>
      </c>
      <c r="P24" s="22">
        <f t="shared" si="4"/>
        <v>-2837405</v>
      </c>
    </row>
    <row r="25" spans="1:16" ht="14.25" customHeight="1">
      <c r="A25" s="28" t="s">
        <v>37</v>
      </c>
      <c r="B25" s="26">
        <f>925195+50000</f>
        <v>975195</v>
      </c>
      <c r="C25" s="26">
        <v>925195</v>
      </c>
      <c r="D25" s="26">
        <v>840000</v>
      </c>
      <c r="E25" s="26">
        <v>640180</v>
      </c>
      <c r="F25" s="26">
        <f>474200+239274</f>
        <v>713474</v>
      </c>
      <c r="G25" s="26">
        <v>394200</v>
      </c>
      <c r="H25" s="26">
        <v>324150</v>
      </c>
      <c r="I25" s="26">
        <v>374200</v>
      </c>
      <c r="J25" s="26">
        <f>575014+445134</f>
        <v>1020148</v>
      </c>
      <c r="K25" s="26">
        <f>750600-1312</f>
        <v>749288</v>
      </c>
      <c r="L25" s="26">
        <f>820145-58809</f>
        <v>761336</v>
      </c>
      <c r="M25" s="26">
        <f>863680+236842</f>
        <v>1100522</v>
      </c>
      <c r="N25" s="27">
        <f t="shared" si="3"/>
        <v>8817888</v>
      </c>
      <c r="P25" s="22">
        <f t="shared" si="4"/>
        <v>-8817888</v>
      </c>
    </row>
    <row r="26" spans="1:16" ht="14.25" customHeight="1">
      <c r="A26" s="25" t="s">
        <v>38</v>
      </c>
      <c r="B26" s="26">
        <v>0</v>
      </c>
      <c r="C26" s="26">
        <v>0</v>
      </c>
      <c r="D26" s="26">
        <v>0</v>
      </c>
      <c r="E26" s="26">
        <v>1000</v>
      </c>
      <c r="F26" s="26">
        <v>0</v>
      </c>
      <c r="G26" s="26">
        <v>0</v>
      </c>
      <c r="H26" s="26">
        <v>0</v>
      </c>
      <c r="I26" s="26">
        <v>0</v>
      </c>
      <c r="J26" s="26">
        <f>1000+7790</f>
        <v>8790</v>
      </c>
      <c r="K26" s="26">
        <v>0</v>
      </c>
      <c r="L26" s="26">
        <v>961</v>
      </c>
      <c r="M26" s="26">
        <v>68375</v>
      </c>
      <c r="N26" s="27">
        <f t="shared" si="3"/>
        <v>79126</v>
      </c>
      <c r="P26" s="22">
        <f t="shared" si="4"/>
        <v>-79126</v>
      </c>
    </row>
    <row r="27" spans="1:16" ht="14.25" customHeight="1">
      <c r="A27" s="25" t="s">
        <v>39</v>
      </c>
      <c r="B27" s="26">
        <v>0</v>
      </c>
      <c r="C27" s="26">
        <v>0</v>
      </c>
      <c r="D27" s="26">
        <v>50000</v>
      </c>
      <c r="E27" s="26">
        <v>0</v>
      </c>
      <c r="F27" s="26">
        <v>50000</v>
      </c>
      <c r="G27" s="26">
        <v>7000</v>
      </c>
      <c r="H27" s="26">
        <v>8000</v>
      </c>
      <c r="I27" s="26">
        <v>100000</v>
      </c>
      <c r="J27" s="26">
        <f>50000+10000</f>
        <v>60000</v>
      </c>
      <c r="K27" s="26">
        <v>0</v>
      </c>
      <c r="L27" s="26">
        <v>50000</v>
      </c>
      <c r="M27" s="26">
        <v>0</v>
      </c>
      <c r="N27" s="27">
        <f t="shared" si="3"/>
        <v>325000</v>
      </c>
      <c r="P27" s="22">
        <f t="shared" si="4"/>
        <v>-325000</v>
      </c>
    </row>
    <row r="28" spans="1:16" ht="14.25" customHeight="1">
      <c r="A28" s="25" t="s">
        <v>40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f t="shared" si="3"/>
        <v>0</v>
      </c>
      <c r="P28" s="22">
        <f t="shared" si="4"/>
        <v>0</v>
      </c>
    </row>
    <row r="29" spans="1:16" ht="14.25" customHeight="1">
      <c r="A29" s="25" t="s">
        <v>41</v>
      </c>
      <c r="B29" s="26">
        <v>0</v>
      </c>
      <c r="C29" s="26">
        <v>0</v>
      </c>
      <c r="D29" s="26">
        <v>0</v>
      </c>
      <c r="E29" s="26">
        <v>3000</v>
      </c>
      <c r="F29" s="26">
        <f>25000+127854</f>
        <v>152854</v>
      </c>
      <c r="G29" s="26">
        <v>4000</v>
      </c>
      <c r="H29" s="26">
        <v>40000</v>
      </c>
      <c r="I29" s="26">
        <v>3500</v>
      </c>
      <c r="J29" s="26">
        <f>8000+30249</f>
        <v>38249</v>
      </c>
      <c r="K29" s="26">
        <f>9964+72148</f>
        <v>82112</v>
      </c>
      <c r="L29" s="26">
        <f>18000+3000</f>
        <v>21000</v>
      </c>
      <c r="M29" s="26">
        <f>8000+566</f>
        <v>8566</v>
      </c>
      <c r="N29" s="27">
        <f t="shared" si="3"/>
        <v>353281</v>
      </c>
      <c r="P29" s="22">
        <f t="shared" si="4"/>
        <v>-353281</v>
      </c>
    </row>
    <row r="30" spans="1:16" ht="14.25" customHeight="1">
      <c r="A30" s="25" t="s">
        <v>42</v>
      </c>
      <c r="B30" s="26">
        <v>0</v>
      </c>
      <c r="C30" s="26">
        <v>0</v>
      </c>
      <c r="D30" s="26">
        <v>0</v>
      </c>
      <c r="E30" s="26">
        <v>0</v>
      </c>
      <c r="F30" s="26">
        <f>43790</f>
        <v>43790</v>
      </c>
      <c r="G30" s="26">
        <v>0</v>
      </c>
      <c r="H30" s="26">
        <v>0</v>
      </c>
      <c r="I30" s="26">
        <v>0</v>
      </c>
      <c r="J30" s="26">
        <f>23000</f>
        <v>23000</v>
      </c>
      <c r="K30" s="26">
        <v>0</v>
      </c>
      <c r="L30" s="26">
        <v>0</v>
      </c>
      <c r="M30" s="26">
        <v>0</v>
      </c>
      <c r="N30" s="27">
        <f t="shared" si="3"/>
        <v>66790</v>
      </c>
      <c r="P30" s="22">
        <f t="shared" si="4"/>
        <v>-66790</v>
      </c>
    </row>
    <row r="31" spans="1:16" ht="14.25" customHeight="1">
      <c r="A31" s="28" t="s">
        <v>43</v>
      </c>
      <c r="B31" s="26">
        <v>21040</v>
      </c>
      <c r="C31" s="26">
        <v>21040</v>
      </c>
      <c r="D31" s="26">
        <v>21040</v>
      </c>
      <c r="E31" s="26">
        <v>21040</v>
      </c>
      <c r="F31" s="26">
        <f>21040+329</f>
        <v>21369</v>
      </c>
      <c r="G31" s="26">
        <v>21040</v>
      </c>
      <c r="H31" s="26">
        <v>21000</v>
      </c>
      <c r="I31" s="26">
        <v>21000</v>
      </c>
      <c r="J31" s="26">
        <f>21050+10190</f>
        <v>31240</v>
      </c>
      <c r="K31" s="26">
        <v>21050</v>
      </c>
      <c r="L31" s="26">
        <v>21112</v>
      </c>
      <c r="M31" s="26">
        <v>21050</v>
      </c>
      <c r="N31" s="27">
        <f t="shared" si="3"/>
        <v>263021</v>
      </c>
      <c r="P31" s="22">
        <f t="shared" si="4"/>
        <v>-263021</v>
      </c>
    </row>
    <row r="32" spans="1:16" ht="14.25" customHeight="1">
      <c r="A32" s="28" t="s">
        <v>44</v>
      </c>
      <c r="B32" s="26">
        <v>3000</v>
      </c>
      <c r="C32" s="26">
        <v>5800</v>
      </c>
      <c r="D32" s="26">
        <v>25000</v>
      </c>
      <c r="E32" s="26">
        <v>25000</v>
      </c>
      <c r="F32" s="26">
        <f>35000+16796</f>
        <v>51796</v>
      </c>
      <c r="G32" s="26">
        <v>28000</v>
      </c>
      <c r="H32" s="26">
        <v>55000</v>
      </c>
      <c r="I32" s="26">
        <v>65000</v>
      </c>
      <c r="J32" s="26">
        <f>72217+64839</f>
        <v>137056</v>
      </c>
      <c r="K32" s="26">
        <f>76160-93</f>
        <v>76067</v>
      </c>
      <c r="L32" s="26">
        <f>38000+351000</f>
        <v>389000</v>
      </c>
      <c r="M32" s="26">
        <f>8000-401730</f>
        <v>-393730</v>
      </c>
      <c r="N32" s="27">
        <f t="shared" si="3"/>
        <v>466989</v>
      </c>
      <c r="P32" s="22">
        <f t="shared" si="4"/>
        <v>-466989</v>
      </c>
    </row>
    <row r="33" spans="1:16" ht="14.25" customHeight="1">
      <c r="A33" s="28" t="s">
        <v>45</v>
      </c>
      <c r="B33" s="26">
        <v>105000</v>
      </c>
      <c r="C33" s="26">
        <v>180000</v>
      </c>
      <c r="D33" s="26">
        <v>180000</v>
      </c>
      <c r="E33" s="26">
        <v>318000</v>
      </c>
      <c r="F33" s="26">
        <f>250000+1076057</f>
        <v>1326057</v>
      </c>
      <c r="G33" s="26">
        <v>420000</v>
      </c>
      <c r="H33" s="26">
        <f>440000+25000</f>
        <v>465000</v>
      </c>
      <c r="I33" s="26">
        <v>280000</v>
      </c>
      <c r="J33" s="26">
        <f>325422+685918</f>
        <v>1011340</v>
      </c>
      <c r="K33" s="26">
        <f>288000+53989</f>
        <v>341989</v>
      </c>
      <c r="L33" s="26">
        <f>268720+462329</f>
        <v>731049</v>
      </c>
      <c r="M33" s="26">
        <f>401000+1478825</f>
        <v>1879825</v>
      </c>
      <c r="N33" s="27">
        <f t="shared" si="3"/>
        <v>7238260</v>
      </c>
      <c r="P33" s="22">
        <f t="shared" si="4"/>
        <v>-7238260</v>
      </c>
    </row>
    <row r="34" spans="1:16" ht="14.25" customHeight="1">
      <c r="A34" s="25" t="s">
        <v>46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f t="shared" si="3"/>
        <v>0</v>
      </c>
      <c r="P34" s="22">
        <f t="shared" si="4"/>
        <v>0</v>
      </c>
    </row>
    <row r="35" spans="1:16" ht="14.25" customHeight="1">
      <c r="A35" s="28" t="s">
        <v>47</v>
      </c>
      <c r="B35" s="26">
        <v>20000</v>
      </c>
      <c r="C35" s="26">
        <v>0</v>
      </c>
      <c r="D35" s="26">
        <v>0</v>
      </c>
      <c r="E35" s="26">
        <v>21000</v>
      </c>
      <c r="F35" s="26">
        <f>45000+7552084</f>
        <v>7597084</v>
      </c>
      <c r="G35" s="26">
        <v>42000</v>
      </c>
      <c r="H35" s="26">
        <f>150000-50000-25000</f>
        <v>75000</v>
      </c>
      <c r="I35" s="26">
        <v>140000</v>
      </c>
      <c r="J35" s="26">
        <f>120091-596303</f>
        <v>-476212</v>
      </c>
      <c r="K35" s="26">
        <f>95000-73001</f>
        <v>21999</v>
      </c>
      <c r="L35" s="26">
        <f>67000-350144</f>
        <v>-283144</v>
      </c>
      <c r="M35" s="26">
        <f>51000-1163695</f>
        <v>-1112695</v>
      </c>
      <c r="N35" s="27">
        <f t="shared" si="3"/>
        <v>6045032</v>
      </c>
      <c r="P35" s="22">
        <f t="shared" si="4"/>
        <v>-6045032</v>
      </c>
    </row>
    <row r="36" spans="1:16" ht="14.25" customHeight="1">
      <c r="A36" s="25" t="s">
        <v>48</v>
      </c>
      <c r="B36" s="26">
        <v>0</v>
      </c>
      <c r="C36" s="26">
        <v>0</v>
      </c>
      <c r="D36" s="26">
        <f>2550+2440+2640</f>
        <v>7630</v>
      </c>
      <c r="E36" s="26">
        <v>0</v>
      </c>
      <c r="F36" s="26">
        <f>33979</f>
        <v>33979</v>
      </c>
      <c r="G36" s="26">
        <v>7450</v>
      </c>
      <c r="H36" s="26">
        <v>0</v>
      </c>
      <c r="I36" s="26">
        <v>0</v>
      </c>
      <c r="J36" s="26">
        <v>7800</v>
      </c>
      <c r="K36" s="26">
        <v>0</v>
      </c>
      <c r="L36" s="26">
        <v>0</v>
      </c>
      <c r="M36" s="26">
        <v>8800</v>
      </c>
      <c r="N36" s="27">
        <f t="shared" si="3"/>
        <v>65659</v>
      </c>
      <c r="P36" s="22">
        <f t="shared" si="4"/>
        <v>-65659</v>
      </c>
    </row>
    <row r="37" spans="1:16" ht="14.25" customHeight="1" thickBot="1">
      <c r="A37" s="25" t="s">
        <v>49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f t="shared" si="3"/>
        <v>0</v>
      </c>
      <c r="P37" s="22">
        <f t="shared" si="4"/>
        <v>0</v>
      </c>
    </row>
    <row r="38" spans="1:14" ht="15.75" customHeight="1" thickBot="1">
      <c r="A38" s="2" t="s">
        <v>50</v>
      </c>
      <c r="B38" s="12">
        <f aca="true" t="shared" si="5" ref="B38:N38">SUM(B23:B37)</f>
        <v>2211231</v>
      </c>
      <c r="C38" s="12">
        <f t="shared" si="5"/>
        <v>2038782</v>
      </c>
      <c r="D38" s="12">
        <f t="shared" si="5"/>
        <v>2030416</v>
      </c>
      <c r="E38" s="12">
        <f t="shared" si="5"/>
        <v>2003967</v>
      </c>
      <c r="F38" s="12">
        <f t="shared" si="5"/>
        <v>11020065</v>
      </c>
      <c r="G38" s="12">
        <f t="shared" si="5"/>
        <v>1898637</v>
      </c>
      <c r="H38" s="12">
        <f t="shared" si="5"/>
        <v>1898146</v>
      </c>
      <c r="I38" s="12">
        <f t="shared" si="5"/>
        <v>1893696</v>
      </c>
      <c r="J38" s="12">
        <f t="shared" si="5"/>
        <v>3430224</v>
      </c>
      <c r="K38" s="12">
        <f t="shared" si="5"/>
        <v>2192070</v>
      </c>
      <c r="L38" s="12">
        <f t="shared" si="5"/>
        <v>2717111</v>
      </c>
      <c r="M38" s="12">
        <f t="shared" si="5"/>
        <v>2694802</v>
      </c>
      <c r="N38" s="16">
        <f t="shared" si="5"/>
        <v>36029147</v>
      </c>
    </row>
    <row r="40" spans="2:14" ht="12.75">
      <c r="B40" s="22"/>
      <c r="C40" s="22"/>
      <c r="D40" s="22"/>
      <c r="E40" s="22"/>
      <c r="F40" s="22"/>
      <c r="G40" s="22"/>
      <c r="H40" s="22"/>
      <c r="I40" s="22"/>
      <c r="J40" s="22"/>
      <c r="K40" s="37"/>
      <c r="L40" s="22"/>
      <c r="M40" s="22"/>
      <c r="N40" s="22"/>
    </row>
    <row r="42" spans="1:14" ht="12.75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4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rendelettervezet 9.sz.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</cp:lastModifiedBy>
  <cp:lastPrinted>2009-08-26T14:32:18Z</cp:lastPrinted>
  <dcterms:created xsi:type="dcterms:W3CDTF">2009-01-29T15:54:37Z</dcterms:created>
  <dcterms:modified xsi:type="dcterms:W3CDTF">2009-12-07T11:38:20Z</dcterms:modified>
  <cp:category/>
  <cp:version/>
  <cp:contentType/>
  <cp:contentStatus/>
</cp:coreProperties>
</file>